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0" windowWidth="28800" windowHeight="11232" tabRatio="844" activeTab="2"/>
  </bookViews>
  <sheets>
    <sheet name="About the Spreadsheet Tabs" sheetId="31" r:id="rId1"/>
    <sheet name="Rates" sheetId="2" r:id="rId2"/>
    <sheet name="BCA" sheetId="75" r:id="rId3"/>
    <sheet name="BenefitSummary" sheetId="52" r:id="rId4"/>
    <sheet name="ProjectCost" sheetId="68" r:id="rId5"/>
    <sheet name="SOGRR" sheetId="62" r:id="rId6"/>
    <sheet name="Travel.Time.Costs" sheetId="54" r:id="rId7"/>
    <sheet name="VOC.1 " sheetId="70" r:id="rId8"/>
    <sheet name="VOC.2" sheetId="72" r:id="rId9"/>
    <sheet name="Emission.Costs" sheetId="56" r:id="rId10"/>
    <sheet name="Safety.Costs" sheetId="60" r:id="rId11"/>
    <sheet name="JobCreation" sheetId="28" r:id="rId12"/>
    <sheet name="Tourism" sheetId="77" r:id="rId13"/>
    <sheet name="Maritime Safety" sheetId="84" r:id="rId14"/>
    <sheet name="VISSIM.Outputs" sheetId="80" r:id="rId15"/>
    <sheet name="VMT.VHT.ADT.Change" sheetId="81" r:id="rId16"/>
    <sheet name="VMT.VHT.ADT.Trip.Types" sheetId="83" r:id="rId17"/>
    <sheet name="VMT.VHT.ADT.Trip.Tables" sheetId="76" r:id="rId18"/>
    <sheet name="Build.vs.No-Build" sheetId="74" r:id="rId19"/>
    <sheet name="VOC " sheetId="49" r:id="rId20"/>
    <sheet name="Fuel.Use.Rate" sheetId="73" r:id="rId21"/>
    <sheet name="EmissRates MOVES2014" sheetId="58" r:id="rId22"/>
    <sheet name="Crash.Data" sheetId="67" r:id="rId23"/>
    <sheet name="Pavement.Marginal.Cost " sheetId="51" r:id="rId24"/>
    <sheet name="KABCO-AIS Conv Matrix" sheetId="47" r:id="rId25"/>
    <sheet name="EmissRates(EPA)" sheetId="44" r:id="rId26"/>
    <sheet name="Fuel Prices ($ per gal)" sheetId="50" r:id="rId27"/>
    <sheet name="CPI Factors" sheetId="36" r:id="rId28"/>
    <sheet name="Tourism_Inputs" sheetId="78" r:id="rId29"/>
  </sheets>
  <externalReferences>
    <externalReference r:id="rId30"/>
    <externalReference r:id="rId31"/>
    <externalReference r:id="rId32"/>
    <externalReference r:id="rId33"/>
    <externalReference r:id="rId34"/>
    <externalReference r:id="rId35"/>
    <externalReference r:id="rId36"/>
    <externalReference r:id="rId37"/>
  </externalReferences>
  <definedNames>
    <definedName name="_GoBack" localSheetId="26">'Fuel Prices ($ per gal)'!#REF!</definedName>
    <definedName name="_GoBack" localSheetId="19">'VOC '!#REF!</definedName>
    <definedName name="_Ref184182116" localSheetId="19">'VOC '!$A$33</definedName>
    <definedName name="_Regression_Out" localSheetId="18" hidden="1">#REF!</definedName>
    <definedName name="_Regression_Out" localSheetId="26" hidden="1">#REF!</definedName>
    <definedName name="_Regression_Out" localSheetId="13" hidden="1">#REF!</definedName>
    <definedName name="_Regression_Out" localSheetId="10" hidden="1">#REF!</definedName>
    <definedName name="_Regression_Out" localSheetId="5" hidden="1">#REF!</definedName>
    <definedName name="_Regression_Out" localSheetId="6" hidden="1">#REF!</definedName>
    <definedName name="_Regression_Out" localSheetId="7" hidden="1">#REF!</definedName>
    <definedName name="_Regression_Out" localSheetId="8" hidden="1">#REF!</definedName>
    <definedName name="_Regression_Out" hidden="1">#REF!</definedName>
    <definedName name="_Regression_X" localSheetId="18" hidden="1">#REF!</definedName>
    <definedName name="_Regression_X" localSheetId="26" hidden="1">#REF!</definedName>
    <definedName name="_Regression_X" localSheetId="13" hidden="1">#REF!</definedName>
    <definedName name="_Regression_X" localSheetId="10"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hidden="1">#REF!</definedName>
    <definedName name="Accidents" localSheetId="20">'[1]3) Results'!$M$34</definedName>
    <definedName name="Accidents">'[2]3) Results'!$M$34</definedName>
    <definedName name="AccReduceFac" localSheetId="20">'[1]2) Model Inputs'!$T$12</definedName>
    <definedName name="AccReduceFac">'[2]2) Model Inputs'!$T$12</definedName>
    <definedName name="AccStAvgB" localSheetId="20">'[1]1) Project Information'!$Q$19</definedName>
    <definedName name="AccStAvgB">'[2]1) Project Information'!$Q$19</definedName>
    <definedName name="AccStAvgNB" localSheetId="20">'[1]1) Project Information'!$P$19</definedName>
    <definedName name="AccStAvgNB">'[2]1) Project Information'!$P$19</definedName>
    <definedName name="ADT0" localSheetId="20">'[1]1) Project Information'!$G$36</definedName>
    <definedName name="ADT0">'[2]1) Project Information'!$G$36</definedName>
    <definedName name="ADT1B" localSheetId="20">'[1]1) Project Information'!$H$38</definedName>
    <definedName name="ADT1B">'[2]1) Project Information'!$H$38</definedName>
    <definedName name="ADT1NB" localSheetId="20">'[1]1) Project Information'!$G$38</definedName>
    <definedName name="ADT1NB">'[2]1) Project Information'!$G$38</definedName>
    <definedName name="ADT20B" localSheetId="20">'[1]1) Project Information'!$H$39</definedName>
    <definedName name="ADT20B">'[2]1) Project Information'!$H$39</definedName>
    <definedName name="ADT20NB" localSheetId="20">'[1]1) Project Information'!$G$39</definedName>
    <definedName name="ADT20NB">'[2]1) Project Information'!$G$39</definedName>
    <definedName name="AM" localSheetId="18">'[3]EmissRates(Cal-B C)'!#REF!</definedName>
    <definedName name="AM" localSheetId="26">#REF!</definedName>
    <definedName name="AM" localSheetId="20">Fuel.Use.Rate!#REF!</definedName>
    <definedName name="AM" localSheetId="13">#REF!</definedName>
    <definedName name="AM" localSheetId="10">#REF!</definedName>
    <definedName name="AM" localSheetId="5">#REF!</definedName>
    <definedName name="AM" localSheetId="6">#REF!</definedName>
    <definedName name="AM" localSheetId="7">#REF!</definedName>
    <definedName name="AM" localSheetId="8">#REF!</definedName>
    <definedName name="AM">#REF!</definedName>
    <definedName name="AnnualFactor" localSheetId="18">'[3]EmissRates(Cal-B C)'!#REF!</definedName>
    <definedName name="AnnualFactor" localSheetId="26">#REF!</definedName>
    <definedName name="AnnualFactor" localSheetId="20">Fuel.Use.Rate!#REF!</definedName>
    <definedName name="AnnualFactor" localSheetId="13">#REF!</definedName>
    <definedName name="AnnualFactor" localSheetId="10">#REF!</definedName>
    <definedName name="AnnualFactor" localSheetId="5">#REF!</definedName>
    <definedName name="AnnualFactor" localSheetId="6">#REF!</definedName>
    <definedName name="AnnualFactor" localSheetId="7">#REF!</definedName>
    <definedName name="AnnualFactor" localSheetId="8">#REF!</definedName>
    <definedName name="AnnualFactor">#REF!</definedName>
    <definedName name="AREASIZE">[4]Inputs!$I$29</definedName>
    <definedName name="AREASIZETBL">[4]Defaults!$AS$211:$AT$213</definedName>
    <definedName name="ArrRate1" localSheetId="20">'[1]1) Project Information'!$G$51</definedName>
    <definedName name="ArrRate1">'[2]1) Project Information'!$G$51</definedName>
    <definedName name="ArrRate20" localSheetId="20">'[1]1) Project Information'!$H$51</definedName>
    <definedName name="ArrRate20">'[2]1) Project Information'!$H$51</definedName>
    <definedName name="ASM" localSheetId="18">'[3]EmissRates(Cal-B C)'!#REF!</definedName>
    <definedName name="ASM" localSheetId="26">#REF!</definedName>
    <definedName name="ASM" localSheetId="20">Fuel.Use.Rate!#REF!</definedName>
    <definedName name="ASM" localSheetId="13">#REF!</definedName>
    <definedName name="ASM" localSheetId="10">#REF!</definedName>
    <definedName name="ASM" localSheetId="5">#REF!</definedName>
    <definedName name="ASM" localSheetId="6">#REF!</definedName>
    <definedName name="ASM" localSheetId="7">#REF!</definedName>
    <definedName name="ASM" localSheetId="8">#REF!</definedName>
    <definedName name="ASM">#REF!</definedName>
    <definedName name="AuxLane" localSheetId="18">'[3]EmissRates(Cal-B C)'!#REF!</definedName>
    <definedName name="AuxLane" localSheetId="26">#REF!</definedName>
    <definedName name="AuxLane" localSheetId="20">Fuel.Use.Rate!#REF!</definedName>
    <definedName name="AuxLane" localSheetId="13">#REF!</definedName>
    <definedName name="AuxLane" localSheetId="10">#REF!</definedName>
    <definedName name="AuxLane" localSheetId="5">#REF!</definedName>
    <definedName name="AuxLane" localSheetId="6">#REF!</definedName>
    <definedName name="AuxLane" localSheetId="7">#REF!</definedName>
    <definedName name="AuxLane" localSheetId="8">#REF!</definedName>
    <definedName name="AuxLane">#REF!</definedName>
    <definedName name="AvgAccCost" localSheetId="18">'[3]EmissRates(Cal-B C)'!#REF!</definedName>
    <definedName name="AvgAccCost" localSheetId="26">#REF!</definedName>
    <definedName name="AvgAccCost" localSheetId="20">Fuel.Use.Rate!#REF!</definedName>
    <definedName name="AvgAccCost" localSheetId="13">#REF!</definedName>
    <definedName name="AvgAccCost" localSheetId="10">#REF!</definedName>
    <definedName name="AvgAccCost" localSheetId="5">#REF!</definedName>
    <definedName name="AvgAccCost" localSheetId="6">#REF!</definedName>
    <definedName name="AvgAccCost" localSheetId="7">#REF!</definedName>
    <definedName name="AvgAccCost" localSheetId="8">#REF!</definedName>
    <definedName name="AvgAccCost">#REF!</definedName>
    <definedName name="AvgAccCostA" localSheetId="18">'[3]EmissRates(Cal-B C)'!#REF!</definedName>
    <definedName name="AvgAccCostA" localSheetId="26">#REF!</definedName>
    <definedName name="AvgAccCostA" localSheetId="20">Fuel.Use.Rate!#REF!</definedName>
    <definedName name="AvgAccCostA" localSheetId="13">#REF!</definedName>
    <definedName name="AvgAccCostA" localSheetId="10">#REF!</definedName>
    <definedName name="AvgAccCostA" localSheetId="5">#REF!</definedName>
    <definedName name="AvgAccCostA" localSheetId="6">#REF!</definedName>
    <definedName name="AvgAccCostA" localSheetId="7">#REF!</definedName>
    <definedName name="AvgAccCostA" localSheetId="8">#REF!</definedName>
    <definedName name="AvgAccCostA">#REF!</definedName>
    <definedName name="AvgAccCostR" localSheetId="18">'[3]EmissRates(Cal-B C)'!#REF!</definedName>
    <definedName name="AvgAccCostR" localSheetId="26">#REF!</definedName>
    <definedName name="AvgAccCostR" localSheetId="20">Fuel.Use.Rate!#REF!</definedName>
    <definedName name="AvgAccCostR" localSheetId="13">#REF!</definedName>
    <definedName name="AvgAccCostR" localSheetId="10">#REF!</definedName>
    <definedName name="AvgAccCostR" localSheetId="5">#REF!</definedName>
    <definedName name="AvgAccCostR" localSheetId="6">#REF!</definedName>
    <definedName name="AvgAccCostR" localSheetId="7">#REF!</definedName>
    <definedName name="AvgAccCostR" localSheetId="8">#REF!</definedName>
    <definedName name="AvgAccCostR">#REF!</definedName>
    <definedName name="AvgAccCostS" localSheetId="18">'[3]EmissRates(Cal-B C)'!#REF!</definedName>
    <definedName name="AvgAccCostS" localSheetId="26">#REF!</definedName>
    <definedName name="AvgAccCostS" localSheetId="20">Fuel.Use.Rate!#REF!</definedName>
    <definedName name="AvgAccCostS" localSheetId="13">#REF!</definedName>
    <definedName name="AvgAccCostS" localSheetId="10">#REF!</definedName>
    <definedName name="AvgAccCostS" localSheetId="5">#REF!</definedName>
    <definedName name="AvgAccCostS" localSheetId="6">#REF!</definedName>
    <definedName name="AvgAccCostS" localSheetId="7">#REF!</definedName>
    <definedName name="AvgAccCostS" localSheetId="8">#REF!</definedName>
    <definedName name="AvgAccCostS">#REF!</definedName>
    <definedName name="AvgAccCostU" localSheetId="18">'[3]EmissRates(Cal-B C)'!#REF!</definedName>
    <definedName name="AvgAccCostU" localSheetId="26">#REF!</definedName>
    <definedName name="AvgAccCostU" localSheetId="20">Fuel.Use.Rate!#REF!</definedName>
    <definedName name="AvgAccCostU" localSheetId="13">#REF!</definedName>
    <definedName name="AvgAccCostU" localSheetId="10">#REF!</definedName>
    <definedName name="AvgAccCostU" localSheetId="5">#REF!</definedName>
    <definedName name="AvgAccCostU" localSheetId="6">#REF!</definedName>
    <definedName name="AvgAccCostU" localSheetId="7">#REF!</definedName>
    <definedName name="AvgAccCostU" localSheetId="8">#REF!</definedName>
    <definedName name="AvgAccCostU">#REF!</definedName>
    <definedName name="AVL" localSheetId="18">'[3]EmissRates(Cal-B C)'!#REF!</definedName>
    <definedName name="AVL" localSheetId="26">#REF!</definedName>
    <definedName name="AVL" localSheetId="20">Fuel.Use.Rate!#REF!</definedName>
    <definedName name="AVL" localSheetId="13">#REF!</definedName>
    <definedName name="AVL" localSheetId="10">#REF!</definedName>
    <definedName name="AVL" localSheetId="5">#REF!</definedName>
    <definedName name="AVL" localSheetId="6">#REF!</definedName>
    <definedName name="AVL" localSheetId="7">#REF!</definedName>
    <definedName name="AVL" localSheetId="8">#REF!</definedName>
    <definedName name="AVL">#REF!</definedName>
    <definedName name="AVLCapSaving" localSheetId="18">'[3]EmissRates(Cal-B C)'!#REF!</definedName>
    <definedName name="AVLCapSaving" localSheetId="26">#REF!</definedName>
    <definedName name="AVLCapSaving" localSheetId="20">Fuel.Use.Rate!#REF!</definedName>
    <definedName name="AVLCapSaving" localSheetId="13">#REF!</definedName>
    <definedName name="AVLCapSaving" localSheetId="10">#REF!</definedName>
    <definedName name="AVLCapSaving" localSheetId="5">#REF!</definedName>
    <definedName name="AVLCapSaving" localSheetId="6">#REF!</definedName>
    <definedName name="AVLCapSaving" localSheetId="7">#REF!</definedName>
    <definedName name="AVLCapSaving" localSheetId="8">#REF!</definedName>
    <definedName name="AVLCapSaving">#REF!</definedName>
    <definedName name="AvlOMsaving" localSheetId="18">'[3]EmissRates(Cal-B C)'!#REF!</definedName>
    <definedName name="AvlOMsaving" localSheetId="26">#REF!</definedName>
    <definedName name="AvlOMsaving" localSheetId="20">Fuel.Use.Rate!#REF!</definedName>
    <definedName name="AvlOMsaving" localSheetId="13">#REF!</definedName>
    <definedName name="AvlOMsaving" localSheetId="10">#REF!</definedName>
    <definedName name="AvlOMsaving" localSheetId="5">#REF!</definedName>
    <definedName name="AvlOMsaving" localSheetId="6">#REF!</definedName>
    <definedName name="AvlOMsaving" localSheetId="7">#REF!</definedName>
    <definedName name="AvlOMsaving" localSheetId="8">#REF!</definedName>
    <definedName name="AvlOMsaving">#REF!</definedName>
    <definedName name="AVLTTsaving" localSheetId="18">'[3]EmissRates(Cal-B C)'!#REF!</definedName>
    <definedName name="AVLTTsaving" localSheetId="26">#REF!</definedName>
    <definedName name="AVLTTsaving" localSheetId="20">Fuel.Use.Rate!#REF!</definedName>
    <definedName name="AVLTTsaving" localSheetId="13">#REF!</definedName>
    <definedName name="AVLTTsaving" localSheetId="10">#REF!</definedName>
    <definedName name="AVLTTsaving" localSheetId="5">#REF!</definedName>
    <definedName name="AVLTTsaving" localSheetId="6">#REF!</definedName>
    <definedName name="AVLTTsaving" localSheetId="7">#REF!</definedName>
    <definedName name="AVLTTsaving" localSheetId="8">#REF!</definedName>
    <definedName name="AVLTTsaving">#REF!</definedName>
    <definedName name="AVOHovB" localSheetId="20">'[1]1) Project Information'!$H$61</definedName>
    <definedName name="AVOHovB">'[2]1) Project Information'!$H$61</definedName>
    <definedName name="AVOHovNB" localSheetId="20">'[1]1) Project Information'!$G$61</definedName>
    <definedName name="AVOHovNB">'[2]1) Project Information'!$G$61</definedName>
    <definedName name="AVONonB" localSheetId="20">'[1]1) Project Information'!$H$59</definedName>
    <definedName name="AVONonB">'[2]1) Project Information'!$H$59</definedName>
    <definedName name="AVONonNB" localSheetId="20">'[1]1) Project Information'!$G$59</definedName>
    <definedName name="AVONonNB">'[2]1) Project Information'!$G$59</definedName>
    <definedName name="AVOPeakB" localSheetId="20">'[1]1) Project Information'!$H$60</definedName>
    <definedName name="AVOPeakB">'[2]1) Project Information'!$H$60</definedName>
    <definedName name="AVOPeakNB" localSheetId="20">'[1]1) Project Information'!$G$60</definedName>
    <definedName name="AVOPeakNB">'[2]1) Project Information'!$G$60</definedName>
    <definedName name="bb" localSheetId="3">#REF!</definedName>
    <definedName name="bb" localSheetId="18">#REF!</definedName>
    <definedName name="bb" localSheetId="22">#REF!</definedName>
    <definedName name="bb" localSheetId="26">#REF!</definedName>
    <definedName name="bb" localSheetId="13">#REF!</definedName>
    <definedName name="bb" localSheetId="23">#REF!</definedName>
    <definedName name="bb" localSheetId="4">ProjectCost!#REF!</definedName>
    <definedName name="bb" localSheetId="10">#REF!</definedName>
    <definedName name="bb" localSheetId="5">#REF!</definedName>
    <definedName name="bb" localSheetId="6">#REF!</definedName>
    <definedName name="bb" localSheetId="19">#REF!</definedName>
    <definedName name="bb" localSheetId="7">#REF!</definedName>
    <definedName name="bb" localSheetId="8">#REF!</definedName>
    <definedName name="bb">#REF!</definedName>
    <definedName name="bnb" localSheetId="3">#REF!</definedName>
    <definedName name="bnb" localSheetId="18">#REF!</definedName>
    <definedName name="bnb" localSheetId="22">#REF!</definedName>
    <definedName name="bnb" localSheetId="26">#REF!</definedName>
    <definedName name="bnb" localSheetId="13">#REF!</definedName>
    <definedName name="bnb" localSheetId="23">#REF!</definedName>
    <definedName name="bnb" localSheetId="4">ProjectCost!#REF!</definedName>
    <definedName name="bnb" localSheetId="10">#REF!</definedName>
    <definedName name="bnb" localSheetId="5">#REF!</definedName>
    <definedName name="bnb" localSheetId="6">#REF!</definedName>
    <definedName name="bnb" localSheetId="19">#REF!</definedName>
    <definedName name="bnb" localSheetId="7">#REF!</definedName>
    <definedName name="bnb" localSheetId="8">#REF!</definedName>
    <definedName name="bnb">#REF!</definedName>
    <definedName name="BRT" localSheetId="18">'[3]EmissRates(Cal-B C)'!#REF!</definedName>
    <definedName name="BRT" localSheetId="26">#REF!</definedName>
    <definedName name="BRT" localSheetId="20">Fuel.Use.Rate!#REF!</definedName>
    <definedName name="BRT" localSheetId="13">#REF!</definedName>
    <definedName name="BRT" localSheetId="10">#REF!</definedName>
    <definedName name="BRT" localSheetId="5">#REF!</definedName>
    <definedName name="BRT" localSheetId="6">#REF!</definedName>
    <definedName name="BRT" localSheetId="7">#REF!</definedName>
    <definedName name="BRT" localSheetId="8">#REF!</definedName>
    <definedName name="BRT">#REF!</definedName>
    <definedName name="BrtTTsaving" localSheetId="18">'[3]EmissRates(Cal-B C)'!#REF!</definedName>
    <definedName name="BrtTTsaving" localSheetId="26">#REF!</definedName>
    <definedName name="BrtTTsaving" localSheetId="20">Fuel.Use.Rate!#REF!</definedName>
    <definedName name="BrtTTsaving" localSheetId="13">#REF!</definedName>
    <definedName name="BrtTTsaving" localSheetId="10">#REF!</definedName>
    <definedName name="BrtTTsaving" localSheetId="5">#REF!</definedName>
    <definedName name="BrtTTsaving" localSheetId="6">#REF!</definedName>
    <definedName name="BrtTTsaving" localSheetId="7">#REF!</definedName>
    <definedName name="BrtTTsaving" localSheetId="8">#REF!</definedName>
    <definedName name="BrtTTsaving">#REF!</definedName>
    <definedName name="Bus" localSheetId="18">'[3]EmissRates(Cal-B C)'!#REF!</definedName>
    <definedName name="Bus" localSheetId="26">#REF!</definedName>
    <definedName name="Bus" localSheetId="20">Fuel.Use.Rate!#REF!</definedName>
    <definedName name="Bus" localSheetId="13">#REF!</definedName>
    <definedName name="Bus" localSheetId="10">#REF!</definedName>
    <definedName name="Bus" localSheetId="5">#REF!</definedName>
    <definedName name="Bus" localSheetId="6">#REF!</definedName>
    <definedName name="Bus" localSheetId="7">#REF!</definedName>
    <definedName name="Bus" localSheetId="8">#REF!</definedName>
    <definedName name="Bus">#REF!</definedName>
    <definedName name="BusAccCost" localSheetId="18">'[3]EmissRates(Cal-B C)'!#REF!</definedName>
    <definedName name="BusAccCost" localSheetId="26">#REF!</definedName>
    <definedName name="BusAccCost" localSheetId="20">Fuel.Use.Rate!#REF!</definedName>
    <definedName name="BusAccCost" localSheetId="13">#REF!</definedName>
    <definedName name="BusAccCost" localSheetId="10">#REF!</definedName>
    <definedName name="BusAccCost" localSheetId="5">#REF!</definedName>
    <definedName name="BusAccCost" localSheetId="6">#REF!</definedName>
    <definedName name="BusAccCost" localSheetId="7">#REF!</definedName>
    <definedName name="BusAccCost" localSheetId="8">#REF!</definedName>
    <definedName name="BusAccCost">#REF!</definedName>
    <definedName name="BVMT">[4]TravCalcs!$S$49</definedName>
    <definedName name="BVMTOP">[4]TravCalcs!$S$56</definedName>
    <definedName name="BVMTPP">[4]TravCalcs!$S$55</definedName>
    <definedName name="Bypass" localSheetId="18">'[3]EmissRates(Cal-B C)'!#REF!</definedName>
    <definedName name="Bypass" localSheetId="26">#REF!</definedName>
    <definedName name="Bypass" localSheetId="20">Fuel.Use.Rate!#REF!</definedName>
    <definedName name="Bypass" localSheetId="13">#REF!</definedName>
    <definedName name="Bypass" localSheetId="10">#REF!</definedName>
    <definedName name="Bypass" localSheetId="5">#REF!</definedName>
    <definedName name="Bypass" localSheetId="6">#REF!</definedName>
    <definedName name="Bypass" localSheetId="7">#REF!</definedName>
    <definedName name="Bypass" localSheetId="8">#REF!</definedName>
    <definedName name="Bypass">#REF!</definedName>
    <definedName name="Capacity2">[5]OtherVariables!$I$12:$N$20</definedName>
    <definedName name="CO2Uprater" localSheetId="18">'[3]EmissRates(Cal-B C)'!#REF!</definedName>
    <definedName name="CO2Uprater" localSheetId="26">#REF!</definedName>
    <definedName name="CO2Uprater" localSheetId="20">Fuel.Use.Rate!#REF!</definedName>
    <definedName name="CO2Uprater" localSheetId="13">#REF!</definedName>
    <definedName name="CO2Uprater" localSheetId="10">#REF!</definedName>
    <definedName name="CO2Uprater" localSheetId="5">#REF!</definedName>
    <definedName name="CO2Uprater" localSheetId="6">#REF!</definedName>
    <definedName name="CO2Uprater" localSheetId="7">#REF!</definedName>
    <definedName name="CO2Uprater" localSheetId="8">#REF!</definedName>
    <definedName name="CO2Uprater">#REF!</definedName>
    <definedName name="Construct" localSheetId="20">'[1]1) Project Information'!$F$14</definedName>
    <definedName name="Construct">'[2]1) Project Information'!$F$14</definedName>
    <definedName name="_xlnm.Database" localSheetId="3">#REF!</definedName>
    <definedName name="_xlnm.Database" localSheetId="18">#REF!</definedName>
    <definedName name="_xlnm.Database" localSheetId="22">#REF!</definedName>
    <definedName name="_xlnm.Database" localSheetId="9">#REF!</definedName>
    <definedName name="_xlnm.Database" localSheetId="21">#REF!</definedName>
    <definedName name="_xlnm.Database" localSheetId="26">#REF!</definedName>
    <definedName name="_xlnm.Database" localSheetId="13">#REF!</definedName>
    <definedName name="_xlnm.Database" localSheetId="23">#REF!</definedName>
    <definedName name="_xlnm.Database" localSheetId="4">#REF!</definedName>
    <definedName name="_xlnm.Database" localSheetId="10">#REF!</definedName>
    <definedName name="_xlnm.Database" localSheetId="5">#REF!</definedName>
    <definedName name="_xlnm.Database" localSheetId="6">#REF!</definedName>
    <definedName name="_xlnm.Database" localSheetId="19">#REF!</definedName>
    <definedName name="_xlnm.Database" localSheetId="7">#REF!</definedName>
    <definedName name="_xlnm.Database" localSheetId="8">#REF!</definedName>
    <definedName name="_xlnm.Database">#REF!</definedName>
    <definedName name="dblStack">'[6]Tunnel Capacity'!$C$6</definedName>
    <definedName name="DEFTELE">[4]Defaults!$K$95</definedName>
    <definedName name="DepRate1" localSheetId="20">'[1]1) Project Information'!$G$52</definedName>
    <definedName name="DepRate1">'[2]1) Project Information'!$G$52</definedName>
    <definedName name="DepRate20" localSheetId="20">'[1]1) Project Information'!$H$52</definedName>
    <definedName name="DepRate20">'[2]1) Project Information'!$H$52</definedName>
    <definedName name="DepRateConv" localSheetId="18">'[3]EmissRates(Cal-B C)'!#REF!</definedName>
    <definedName name="DepRateConv" localSheetId="26">#REF!</definedName>
    <definedName name="DepRateConv" localSheetId="20">Fuel.Use.Rate!#REF!</definedName>
    <definedName name="DepRateConv" localSheetId="13">#REF!</definedName>
    <definedName name="DepRateConv" localSheetId="10">#REF!</definedName>
    <definedName name="DepRateConv" localSheetId="5">#REF!</definedName>
    <definedName name="DepRateConv" localSheetId="6">#REF!</definedName>
    <definedName name="DepRateConv" localSheetId="7">#REF!</definedName>
    <definedName name="DepRateConv" localSheetId="8">#REF!</definedName>
    <definedName name="DepRateConv">#REF!</definedName>
    <definedName name="DepRateExp" localSheetId="18">'[3]EmissRates(Cal-B C)'!#REF!</definedName>
    <definedName name="DepRateExp" localSheetId="26">#REF!</definedName>
    <definedName name="DepRateExp" localSheetId="20">Fuel.Use.Rate!#REF!</definedName>
    <definedName name="DepRateExp" localSheetId="13">#REF!</definedName>
    <definedName name="DepRateExp" localSheetId="10">#REF!</definedName>
    <definedName name="DepRateExp" localSheetId="5">#REF!</definedName>
    <definedName name="DepRateExp" localSheetId="6">#REF!</definedName>
    <definedName name="DepRateExp" localSheetId="7">#REF!</definedName>
    <definedName name="DepRateExp" localSheetId="8">#REF!</definedName>
    <definedName name="DepRateExp">#REF!</definedName>
    <definedName name="DepRateFwy" localSheetId="18">'[3]EmissRates(Cal-B C)'!#REF!</definedName>
    <definedName name="DepRateFwy" localSheetId="26">#REF!</definedName>
    <definedName name="DepRateFwy" localSheetId="20">Fuel.Use.Rate!#REF!</definedName>
    <definedName name="DepRateFwy" localSheetId="13">#REF!</definedName>
    <definedName name="DepRateFwy" localSheetId="10">#REF!</definedName>
    <definedName name="DepRateFwy" localSheetId="5">#REF!</definedName>
    <definedName name="DepRateFwy" localSheetId="6">#REF!</definedName>
    <definedName name="DepRateFwy" localSheetId="7">#REF!</definedName>
    <definedName name="DepRateFwy" localSheetId="8">#REF!</definedName>
    <definedName name="DepRateFwy">#REF!</definedName>
    <definedName name="DiscRate" localSheetId="18">'[3]EmissRates(Cal-B C)'!#REF!</definedName>
    <definedName name="DiscRate" localSheetId="26">#REF!</definedName>
    <definedName name="DiscRate" localSheetId="20">Fuel.Use.Rate!#REF!</definedName>
    <definedName name="DiscRate" localSheetId="13">#REF!</definedName>
    <definedName name="DiscRate" localSheetId="10">#REF!</definedName>
    <definedName name="DiscRate" localSheetId="5">#REF!</definedName>
    <definedName name="DiscRate" localSheetId="6">#REF!</definedName>
    <definedName name="DiscRate" localSheetId="7">#REF!</definedName>
    <definedName name="DiscRate" localSheetId="8">#REF!</definedName>
    <definedName name="DiscRate">#REF!</definedName>
    <definedName name="domstackRate">'[6]Tunnel Capacity'!$C$4</definedName>
    <definedName name="DTRIP">[4]TravCalcs!$P$49</definedName>
    <definedName name="DTRIPOP">[4]TravCalcs!$P$56</definedName>
    <definedName name="DTRIPPP">[4]TravCalcs!$P$55</definedName>
    <definedName name="DVMT">[4]TravCalcs!$U$49</definedName>
    <definedName name="DVMTOP">[4]TravCalcs!$U$56</definedName>
    <definedName name="DVMTPP">[4]TravCalcs!$U$55</definedName>
    <definedName name="EmAuto1" localSheetId="18">#REF!</definedName>
    <definedName name="EmAuto1" localSheetId="20">Fuel.Use.Rate!#REF!</definedName>
    <definedName name="EmAuto1" localSheetId="13">#REF!</definedName>
    <definedName name="EmAuto1" localSheetId="10">#REF!</definedName>
    <definedName name="EmAuto1" localSheetId="5">#REF!</definedName>
    <definedName name="EmAuto1" localSheetId="7">#REF!</definedName>
    <definedName name="EmAuto1" localSheetId="8">#REF!</definedName>
    <definedName name="EmAuto1">#REF!</definedName>
    <definedName name="EmAuto20" localSheetId="18">#REF!</definedName>
    <definedName name="EmAuto20" localSheetId="20">Fuel.Use.Rate!#REF!</definedName>
    <definedName name="EmAuto20" localSheetId="13">#REF!</definedName>
    <definedName name="EmAuto20" localSheetId="10">#REF!</definedName>
    <definedName name="EmAuto20" localSheetId="5">#REF!</definedName>
    <definedName name="EmAuto20" localSheetId="7">#REF!</definedName>
    <definedName name="EmAuto20" localSheetId="8">#REF!</definedName>
    <definedName name="EmAuto20">#REF!</definedName>
    <definedName name="EmBus1" localSheetId="18">#REF!</definedName>
    <definedName name="EmBus1" localSheetId="20">Fuel.Use.Rate!#REF!</definedName>
    <definedName name="EmBus1" localSheetId="13">#REF!</definedName>
    <definedName name="EmBus1" localSheetId="10">#REF!</definedName>
    <definedName name="EmBus1" localSheetId="5">#REF!</definedName>
    <definedName name="EmBus1" localSheetId="7">#REF!</definedName>
    <definedName name="EmBus1" localSheetId="8">#REF!</definedName>
    <definedName name="EmBus1">#REF!</definedName>
    <definedName name="EmBus20" localSheetId="18">#REF!</definedName>
    <definedName name="EmBus20" localSheetId="20">Fuel.Use.Rate!#REF!</definedName>
    <definedName name="EmBus20" localSheetId="13">#REF!</definedName>
    <definedName name="EmBus20" localSheetId="10">#REF!</definedName>
    <definedName name="EmBus20" localSheetId="5">#REF!</definedName>
    <definedName name="EmBus20" localSheetId="7">#REF!</definedName>
    <definedName name="EmBus20" localSheetId="8">#REF!</definedName>
    <definedName name="EmBus20">#REF!</definedName>
    <definedName name="EmCost" localSheetId="18">'[3]EmissRates(Cal-B C)'!#REF!</definedName>
    <definedName name="EmCost" localSheetId="26">#REF!</definedName>
    <definedName name="EmCost" localSheetId="20">Fuel.Use.Rate!#REF!</definedName>
    <definedName name="EmCost" localSheetId="13">#REF!</definedName>
    <definedName name="EmCost" localSheetId="10">#REF!</definedName>
    <definedName name="EmCost" localSheetId="5">#REF!</definedName>
    <definedName name="EmCost" localSheetId="6">#REF!</definedName>
    <definedName name="EmCost" localSheetId="7">#REF!</definedName>
    <definedName name="EmCost" localSheetId="8">#REF!</definedName>
    <definedName name="EmCost">#REF!</definedName>
    <definedName name="Emissions" localSheetId="20">'[1]3) Results'!$M$36</definedName>
    <definedName name="Emissions">'[2]3) Results'!$M$36</definedName>
    <definedName name="EmLRT" localSheetId="18">'[3]EmissRates(Cal-B C)'!#REF!</definedName>
    <definedName name="EmLRT" localSheetId="26">#REF!</definedName>
    <definedName name="EmLRT" localSheetId="20">Fuel.Use.Rate!#REF!</definedName>
    <definedName name="EmLRT" localSheetId="13">#REF!</definedName>
    <definedName name="EmLRT" localSheetId="10">#REF!</definedName>
    <definedName name="EmLRT" localSheetId="5">#REF!</definedName>
    <definedName name="EmLRT" localSheetId="6">#REF!</definedName>
    <definedName name="EmLRT" localSheetId="7">#REF!</definedName>
    <definedName name="EmLRT" localSheetId="8">#REF!</definedName>
    <definedName name="EmLRT">#REF!</definedName>
    <definedName name="EmPassTrain" localSheetId="18">'[3]EmissRates(Cal-B C)'!#REF!</definedName>
    <definedName name="EmPassTrain" localSheetId="26">#REF!</definedName>
    <definedName name="EmPassTrain" localSheetId="20">Fuel.Use.Rate!#REF!</definedName>
    <definedName name="EmPassTrain" localSheetId="13">#REF!</definedName>
    <definedName name="EmPassTrain" localSheetId="10">#REF!</definedName>
    <definedName name="EmPassTrain" localSheetId="5">#REF!</definedName>
    <definedName name="EmPassTrain" localSheetId="6">#REF!</definedName>
    <definedName name="EmPassTrain" localSheetId="7">#REF!</definedName>
    <definedName name="EmPassTrain" localSheetId="8">#REF!</definedName>
    <definedName name="EmPassTrain">#REF!</definedName>
    <definedName name="EMPTOT">[4]Inputs!$I$43</definedName>
    <definedName name="EmTruck1" localSheetId="18">#REF!</definedName>
    <definedName name="EmTruck1" localSheetId="20">Fuel.Use.Rate!#REF!</definedName>
    <definedName name="EmTruck1" localSheetId="13">#REF!</definedName>
    <definedName name="EmTruck1" localSheetId="10">#REF!</definedName>
    <definedName name="EmTruck1" localSheetId="5">#REF!</definedName>
    <definedName name="EmTruck1" localSheetId="7">#REF!</definedName>
    <definedName name="EmTruck1" localSheetId="8">#REF!</definedName>
    <definedName name="EmTruck1">#REF!</definedName>
    <definedName name="EmTruck20" localSheetId="18">#REF!</definedName>
    <definedName name="EmTruck20" localSheetId="20">Fuel.Use.Rate!#REF!</definedName>
    <definedName name="EmTruck20" localSheetId="13">#REF!</definedName>
    <definedName name="EmTruck20" localSheetId="10">#REF!</definedName>
    <definedName name="EmTruck20" localSheetId="5">#REF!</definedName>
    <definedName name="EmTruck20" localSheetId="7">#REF!</definedName>
    <definedName name="EmTruck20" localSheetId="8">#REF!</definedName>
    <definedName name="EmTruck20">#REF!</definedName>
    <definedName name="ExciseTaxDieselFed" localSheetId="18">'[3]EmissRates(Cal-B C)'!#REF!</definedName>
    <definedName name="ExciseTaxDieselFed" localSheetId="26">#REF!</definedName>
    <definedName name="ExciseTaxDieselFed" localSheetId="20">Fuel.Use.Rate!#REF!</definedName>
    <definedName name="ExciseTaxDieselFed" localSheetId="13">#REF!</definedName>
    <definedName name="ExciseTaxDieselFed" localSheetId="10">#REF!</definedName>
    <definedName name="ExciseTaxDieselFed" localSheetId="5">#REF!</definedName>
    <definedName name="ExciseTaxDieselFed" localSheetId="6">#REF!</definedName>
    <definedName name="ExciseTaxDieselFed" localSheetId="7">#REF!</definedName>
    <definedName name="ExciseTaxDieselFed" localSheetId="8">#REF!</definedName>
    <definedName name="ExciseTaxDieselFed">#REF!</definedName>
    <definedName name="ExciseTaxDieselState" localSheetId="18">'[3]EmissRates(Cal-B C)'!#REF!</definedName>
    <definedName name="ExciseTaxDieselState" localSheetId="26">#REF!</definedName>
    <definedName name="ExciseTaxDieselState" localSheetId="20">Fuel.Use.Rate!#REF!</definedName>
    <definedName name="ExciseTaxDieselState" localSheetId="13">#REF!</definedName>
    <definedName name="ExciseTaxDieselState" localSheetId="10">#REF!</definedName>
    <definedName name="ExciseTaxDieselState" localSheetId="5">#REF!</definedName>
    <definedName name="ExciseTaxDieselState" localSheetId="6">#REF!</definedName>
    <definedName name="ExciseTaxDieselState" localSheetId="7">#REF!</definedName>
    <definedName name="ExciseTaxDieselState" localSheetId="8">#REF!</definedName>
    <definedName name="ExciseTaxDieselState">#REF!</definedName>
    <definedName name="ExciseTaxGasFed" localSheetId="18">'[3]EmissRates(Cal-B C)'!#REF!</definedName>
    <definedName name="ExciseTaxGasFed" localSheetId="26">#REF!</definedName>
    <definedName name="ExciseTaxGasFed" localSheetId="20">Fuel.Use.Rate!#REF!</definedName>
    <definedName name="ExciseTaxGasFed" localSheetId="13">#REF!</definedName>
    <definedName name="ExciseTaxGasFed" localSheetId="10">#REF!</definedName>
    <definedName name="ExciseTaxGasFed" localSheetId="5">#REF!</definedName>
    <definedName name="ExciseTaxGasFed" localSheetId="6">#REF!</definedName>
    <definedName name="ExciseTaxGasFed" localSheetId="7">#REF!</definedName>
    <definedName name="ExciseTaxGasFed" localSheetId="8">#REF!</definedName>
    <definedName name="ExciseTaxGasFed">#REF!</definedName>
    <definedName name="ExciseTaxGasState" localSheetId="18">'[3]EmissRates(Cal-B C)'!#REF!</definedName>
    <definedName name="ExciseTaxGasState" localSheetId="26">#REF!</definedName>
    <definedName name="ExciseTaxGasState" localSheetId="20">Fuel.Use.Rate!#REF!</definedName>
    <definedName name="ExciseTaxGasState" localSheetId="13">#REF!</definedName>
    <definedName name="ExciseTaxGasState" localSheetId="10">#REF!</definedName>
    <definedName name="ExciseTaxGasState" localSheetId="5">#REF!</definedName>
    <definedName name="ExciseTaxGasState" localSheetId="6">#REF!</definedName>
    <definedName name="ExciseTaxGasState" localSheetId="7">#REF!</definedName>
    <definedName name="ExciseTaxGasState" localSheetId="8">#REF!</definedName>
    <definedName name="ExciseTaxGasState">#REF!</definedName>
    <definedName name="Exclusive" localSheetId="20">'[1]1) Project Information'!$G$28</definedName>
    <definedName name="Exclusive">'[2]1) Project Information'!$G$28</definedName>
    <definedName name="Farebox" localSheetId="18">#REF!</definedName>
    <definedName name="Farebox" localSheetId="13">#REF!</definedName>
    <definedName name="Farebox" localSheetId="10">#REF!</definedName>
    <definedName name="Farebox" localSheetId="5">#REF!</definedName>
    <definedName name="Farebox" localSheetId="7">#REF!</definedName>
    <definedName name="Farebox" localSheetId="8">#REF!</definedName>
    <definedName name="Farebox">#REF!</definedName>
    <definedName name="Fat3Yr" localSheetId="20">'[1]1) Project Information'!$Q$12</definedName>
    <definedName name="Fat3Yr">'[2]1) Project Information'!$Q$12</definedName>
    <definedName name="FatalRateB" localSheetId="20">'[1]2) Model Inputs'!$U$20</definedName>
    <definedName name="FatalRateB">'[2]2) Model Inputs'!$U$20</definedName>
    <definedName name="FatalRateNB" localSheetId="20">'[1]2) Model Inputs'!$U$7</definedName>
    <definedName name="FatalRateNB">'[2]2) Model Inputs'!$U$7</definedName>
    <definedName name="FatValue" localSheetId="18">'[3]EmissRates(Cal-B C)'!#REF!</definedName>
    <definedName name="FatValue" localSheetId="26">#REF!</definedName>
    <definedName name="FatValue" localSheetId="20">Fuel.Use.Rate!#REF!</definedName>
    <definedName name="FatValue" localSheetId="13">#REF!</definedName>
    <definedName name="FatValue" localSheetId="10">#REF!</definedName>
    <definedName name="FatValue" localSheetId="5">#REF!</definedName>
    <definedName name="FatValue" localSheetId="6">#REF!</definedName>
    <definedName name="FatValue" localSheetId="7">#REF!</definedName>
    <definedName name="FatValue" localSheetId="8">#REF!</definedName>
    <definedName name="FatValue">#REF!</definedName>
    <definedName name="fb" localSheetId="3">#REF!</definedName>
    <definedName name="fb" localSheetId="18">#REF!</definedName>
    <definedName name="fb" localSheetId="22">#REF!</definedName>
    <definedName name="fb" localSheetId="26">#REF!</definedName>
    <definedName name="fb" localSheetId="13">#REF!</definedName>
    <definedName name="fb" localSheetId="23">#REF!</definedName>
    <definedName name="fb" localSheetId="4">ProjectCost!#REF!</definedName>
    <definedName name="fb" localSheetId="10">#REF!</definedName>
    <definedName name="fb" localSheetId="5">#REF!</definedName>
    <definedName name="fb" localSheetId="6">#REF!</definedName>
    <definedName name="fb" localSheetId="19">#REF!</definedName>
    <definedName name="fb" localSheetId="7">#REF!</definedName>
    <definedName name="fb" localSheetId="8">#REF!</definedName>
    <definedName name="fb">#REF!</definedName>
    <definedName name="FFSpeedB" localSheetId="20">'[1]1) Project Information'!$H$30</definedName>
    <definedName name="FFSpeedB">'[2]1) Project Information'!$H$30</definedName>
    <definedName name="FFSpeedNB" localSheetId="20">'[1]1) Project Information'!$G$30</definedName>
    <definedName name="FFSpeedNB">'[2]1) Project Information'!$G$30</definedName>
    <definedName name="FILENAME">[4]Inputs!$I$20</definedName>
    <definedName name="fnb" localSheetId="3">#REF!</definedName>
    <definedName name="fnb" localSheetId="18">#REF!</definedName>
    <definedName name="fnb" localSheetId="22">#REF!</definedName>
    <definedName name="fnb" localSheetId="26">#REF!</definedName>
    <definedName name="fnb" localSheetId="13">#REF!</definedName>
    <definedName name="fnb" localSheetId="23">#REF!</definedName>
    <definedName name="fnb" localSheetId="4">ProjectCost!#REF!</definedName>
    <definedName name="fnb" localSheetId="10">#REF!</definedName>
    <definedName name="fnb" localSheetId="5">#REF!</definedName>
    <definedName name="fnb" localSheetId="6">#REF!</definedName>
    <definedName name="fnb" localSheetId="19">#REF!</definedName>
    <definedName name="fnb" localSheetId="7">#REF!</definedName>
    <definedName name="fnb" localSheetId="8">#REF!</definedName>
    <definedName name="fnb">#REF!</definedName>
    <definedName name="FreeConn" localSheetId="18">'[3]EmissRates(Cal-B C)'!#REF!</definedName>
    <definedName name="FreeConn" localSheetId="26">#REF!</definedName>
    <definedName name="FreeConn" localSheetId="20">Fuel.Use.Rate!#REF!</definedName>
    <definedName name="FreeConn" localSheetId="13">#REF!</definedName>
    <definedName name="FreeConn" localSheetId="10">#REF!</definedName>
    <definedName name="FreeConn" localSheetId="5">#REF!</definedName>
    <definedName name="FreeConn" localSheetId="6">#REF!</definedName>
    <definedName name="FreeConn" localSheetId="7">#REF!</definedName>
    <definedName name="FreeConn" localSheetId="8">#REF!</definedName>
    <definedName name="FreeConn">#REF!</definedName>
    <definedName name="FringeTruck" localSheetId="18">'[3]EmissRates(Cal-B C)'!#REF!</definedName>
    <definedName name="FringeTruck" localSheetId="26">#REF!</definedName>
    <definedName name="FringeTruck" localSheetId="20">Fuel.Use.Rate!#REF!</definedName>
    <definedName name="FringeTruck" localSheetId="13">#REF!</definedName>
    <definedName name="FringeTruck" localSheetId="10">#REF!</definedName>
    <definedName name="FringeTruck" localSheetId="5">#REF!</definedName>
    <definedName name="FringeTruck" localSheetId="6">#REF!</definedName>
    <definedName name="FringeTruck" localSheetId="7">#REF!</definedName>
    <definedName name="FringeTruck" localSheetId="8">#REF!</definedName>
    <definedName name="FringeTruck">#REF!</definedName>
    <definedName name="FuelAuto" localSheetId="18">'[3]EmissRates(Cal-B C)'!#REF!</definedName>
    <definedName name="FuelAuto" localSheetId="26">#REF!</definedName>
    <definedName name="FuelAuto" localSheetId="20">Fuel.Use.Rate!#REF!</definedName>
    <definedName name="FuelAuto" localSheetId="13">#REF!</definedName>
    <definedName name="FuelAuto" localSheetId="10">#REF!</definedName>
    <definedName name="FuelAuto" localSheetId="5">#REF!</definedName>
    <definedName name="FuelAuto" localSheetId="6">#REF!</definedName>
    <definedName name="FuelAuto" localSheetId="7">#REF!</definedName>
    <definedName name="FuelAuto" localSheetId="8">#REF!</definedName>
    <definedName name="FuelAuto">#REF!</definedName>
    <definedName name="FuelCon" localSheetId="18">'[3]EmissRates(Cal-B C)'!#REF!</definedName>
    <definedName name="FuelCon" localSheetId="26">#REF!</definedName>
    <definedName name="FuelCon" localSheetId="20">Fuel.Use.Rate!$C$13:$E$88</definedName>
    <definedName name="FuelCon" localSheetId="13">#REF!</definedName>
    <definedName name="FuelCon" localSheetId="10">#REF!</definedName>
    <definedName name="FuelCon" localSheetId="5">#REF!</definedName>
    <definedName name="FuelCon" localSheetId="6">#REF!</definedName>
    <definedName name="FuelCon" localSheetId="7">#REF!</definedName>
    <definedName name="FuelCon" localSheetId="8">#REF!</definedName>
    <definedName name="FuelCon">#REF!</definedName>
    <definedName name="FuelConPavAdj" localSheetId="18">'[3]EmissRates(Cal-B C)'!#REF!</definedName>
    <definedName name="FuelConPavAdj" localSheetId="26">#REF!</definedName>
    <definedName name="FuelConPavAdj" localSheetId="20">Fuel.Use.Rate!#REF!</definedName>
    <definedName name="FuelConPavAdj" localSheetId="13">#REF!</definedName>
    <definedName name="FuelConPavAdj" localSheetId="10">#REF!</definedName>
    <definedName name="FuelConPavAdj" localSheetId="5">#REF!</definedName>
    <definedName name="FuelConPavAdj" localSheetId="6">#REF!</definedName>
    <definedName name="FuelConPavAdj" localSheetId="7">#REF!</definedName>
    <definedName name="FuelConPavAdj" localSheetId="8">#REF!</definedName>
    <definedName name="FuelConPavAdj">#REF!</definedName>
    <definedName name="FuelPriceAuto" localSheetId="18">'[3]EmissRates(Cal-B C)'!#REF!</definedName>
    <definedName name="FuelPriceAuto" localSheetId="26">#REF!</definedName>
    <definedName name="FuelPriceAuto" localSheetId="20">Fuel.Use.Rate!#REF!</definedName>
    <definedName name="FuelPriceAuto" localSheetId="13">#REF!</definedName>
    <definedName name="FuelPriceAuto" localSheetId="10">#REF!</definedName>
    <definedName name="FuelPriceAuto" localSheetId="5">#REF!</definedName>
    <definedName name="FuelPriceAuto" localSheetId="6">#REF!</definedName>
    <definedName name="FuelPriceAuto" localSheetId="7">#REF!</definedName>
    <definedName name="FuelPriceAuto" localSheetId="8">#REF!</definedName>
    <definedName name="FuelPriceAuto">#REF!</definedName>
    <definedName name="FuelPriceTruck" localSheetId="18">'[3]EmissRates(Cal-B C)'!#REF!</definedName>
    <definedName name="FuelPriceTruck" localSheetId="26">#REF!</definedName>
    <definedName name="FuelPriceTruck" localSheetId="20">Fuel.Use.Rate!#REF!</definedName>
    <definedName name="FuelPriceTruck" localSheetId="13">#REF!</definedName>
    <definedName name="FuelPriceTruck" localSheetId="10">#REF!</definedName>
    <definedName name="FuelPriceTruck" localSheetId="5">#REF!</definedName>
    <definedName name="FuelPriceTruck" localSheetId="6">#REF!</definedName>
    <definedName name="FuelPriceTruck" localSheetId="7">#REF!</definedName>
    <definedName name="FuelPriceTruck" localSheetId="8">#REF!</definedName>
    <definedName name="FuelPriceTruck">#REF!</definedName>
    <definedName name="FuelTruck" localSheetId="18">'[3]EmissRates(Cal-B C)'!#REF!</definedName>
    <definedName name="FuelTruck" localSheetId="26">#REF!</definedName>
    <definedName name="FuelTruck" localSheetId="20">Fuel.Use.Rate!#REF!</definedName>
    <definedName name="FuelTruck" localSheetId="13">#REF!</definedName>
    <definedName name="FuelTruck" localSheetId="10">#REF!</definedName>
    <definedName name="FuelTruck" localSheetId="5">#REF!</definedName>
    <definedName name="FuelTruck" localSheetId="6">#REF!</definedName>
    <definedName name="FuelTruck" localSheetId="7">#REF!</definedName>
    <definedName name="FuelTruck" localSheetId="8">#REF!</definedName>
    <definedName name="FuelTruck">#REF!</definedName>
    <definedName name="FVMT">[4]TravCalcs!$T$49</definedName>
    <definedName name="FVMTOP">[4]TravCalcs!$T$56</definedName>
    <definedName name="FVMTPP">[4]TravCalcs!$T$55</definedName>
    <definedName name="GateTime0" localSheetId="20">'[1]1) Project Information'!$O$49</definedName>
    <definedName name="GateTime0">'[2]1) Project Information'!$O$49</definedName>
    <definedName name="GateTime1" localSheetId="20">'[1]1) Project Information'!$P$49</definedName>
    <definedName name="GateTime1">'[2]1) Project Information'!$P$49</definedName>
    <definedName name="GateTime20" localSheetId="20">'[1]1) Project Information'!$Q$49</definedName>
    <definedName name="GateTime20">'[2]1) Project Information'!$Q$49</definedName>
    <definedName name="GenAlphaB" localSheetId="18">'[3]EmissRates(Cal-B C)'!#REF!</definedName>
    <definedName name="GenAlphaB" localSheetId="26">#REF!</definedName>
    <definedName name="GenAlphaB" localSheetId="20">Fuel.Use.Rate!#REF!</definedName>
    <definedName name="GenAlphaB" localSheetId="13">#REF!</definedName>
    <definedName name="GenAlphaB" localSheetId="10">#REF!</definedName>
    <definedName name="GenAlphaB" localSheetId="5">#REF!</definedName>
    <definedName name="GenAlphaB" localSheetId="6">#REF!</definedName>
    <definedName name="GenAlphaB" localSheetId="7">#REF!</definedName>
    <definedName name="GenAlphaB" localSheetId="8">#REF!</definedName>
    <definedName name="GenAlphaB">#REF!</definedName>
    <definedName name="GenAlphaNB" localSheetId="18">'[3]EmissRates(Cal-B C)'!#REF!</definedName>
    <definedName name="GenAlphaNB" localSheetId="26">#REF!</definedName>
    <definedName name="GenAlphaNB" localSheetId="20">Fuel.Use.Rate!#REF!</definedName>
    <definedName name="GenAlphaNB" localSheetId="13">#REF!</definedName>
    <definedName name="GenAlphaNB" localSheetId="10">#REF!</definedName>
    <definedName name="GenAlphaNB" localSheetId="5">#REF!</definedName>
    <definedName name="GenAlphaNB" localSheetId="6">#REF!</definedName>
    <definedName name="GenAlphaNB" localSheetId="7">#REF!</definedName>
    <definedName name="GenAlphaNB" localSheetId="8">#REF!</definedName>
    <definedName name="GenAlphaNB">#REF!</definedName>
    <definedName name="GenBetaB" localSheetId="18">'[3]EmissRates(Cal-B C)'!#REF!</definedName>
    <definedName name="GenBetaB" localSheetId="26">#REF!</definedName>
    <definedName name="GenBetaB" localSheetId="20">Fuel.Use.Rate!#REF!</definedName>
    <definedName name="GenBetaB" localSheetId="13">#REF!</definedName>
    <definedName name="GenBetaB" localSheetId="10">#REF!</definedName>
    <definedName name="GenBetaB" localSheetId="5">#REF!</definedName>
    <definedName name="GenBetaB" localSheetId="6">#REF!</definedName>
    <definedName name="GenBetaB" localSheetId="7">#REF!</definedName>
    <definedName name="GenBetaB" localSheetId="8">#REF!</definedName>
    <definedName name="GenBetaB">#REF!</definedName>
    <definedName name="GenBetaNB" localSheetId="18">'[3]EmissRates(Cal-B C)'!#REF!</definedName>
    <definedName name="GenBetaNB" localSheetId="26">#REF!</definedName>
    <definedName name="GenBetaNB" localSheetId="20">Fuel.Use.Rate!#REF!</definedName>
    <definedName name="GenBetaNB" localSheetId="13">#REF!</definedName>
    <definedName name="GenBetaNB" localSheetId="10">#REF!</definedName>
    <definedName name="GenBetaNB" localSheetId="5">#REF!</definedName>
    <definedName name="GenBetaNB" localSheetId="6">#REF!</definedName>
    <definedName name="GenBetaNB" localSheetId="7">#REF!</definedName>
    <definedName name="GenBetaNB" localSheetId="8">#REF!</definedName>
    <definedName name="GenBetaNB">#REF!</definedName>
    <definedName name="GenHwy" localSheetId="18">'[3]EmissRates(Cal-B C)'!#REF!</definedName>
    <definedName name="GenHwy" localSheetId="26">#REF!</definedName>
    <definedName name="GenHwy" localSheetId="20">Fuel.Use.Rate!#REF!</definedName>
    <definedName name="GenHwy" localSheetId="13">#REF!</definedName>
    <definedName name="GenHwy" localSheetId="10">#REF!</definedName>
    <definedName name="GenHwy" localSheetId="5">#REF!</definedName>
    <definedName name="GenHwy" localSheetId="6">#REF!</definedName>
    <definedName name="GenHwy" localSheetId="7">#REF!</definedName>
    <definedName name="GenHwy" localSheetId="8">#REF!</definedName>
    <definedName name="GenHwy">#REF!</definedName>
    <definedName name="GenLaneCapB" localSheetId="18">'[3]EmissRates(Cal-B C)'!#REF!</definedName>
    <definedName name="GenLaneCapB" localSheetId="26">#REF!</definedName>
    <definedName name="GenLaneCapB" localSheetId="20">Fuel.Use.Rate!#REF!</definedName>
    <definedName name="GenLaneCapB" localSheetId="13">#REF!</definedName>
    <definedName name="GenLaneCapB" localSheetId="10">#REF!</definedName>
    <definedName name="GenLaneCapB" localSheetId="5">#REF!</definedName>
    <definedName name="GenLaneCapB" localSheetId="6">#REF!</definedName>
    <definedName name="GenLaneCapB" localSheetId="7">#REF!</definedName>
    <definedName name="GenLaneCapB" localSheetId="8">#REF!</definedName>
    <definedName name="GenLaneCapB">#REF!</definedName>
    <definedName name="GenLaneCapNB" localSheetId="18">'[3]EmissRates(Cal-B C)'!#REF!</definedName>
    <definedName name="GenLaneCapNB" localSheetId="26">#REF!</definedName>
    <definedName name="GenLaneCapNB" localSheetId="20">Fuel.Use.Rate!#REF!</definedName>
    <definedName name="GenLaneCapNB" localSheetId="13">#REF!</definedName>
    <definedName name="GenLaneCapNB" localSheetId="10">#REF!</definedName>
    <definedName name="GenLaneCapNB" localSheetId="5">#REF!</definedName>
    <definedName name="GenLaneCapNB" localSheetId="6">#REF!</definedName>
    <definedName name="GenLaneCapNB" localSheetId="7">#REF!</definedName>
    <definedName name="GenLaneCapNB" localSheetId="8">#REF!</definedName>
    <definedName name="GenLaneCapNB">#REF!</definedName>
    <definedName name="GenLanesB" localSheetId="20">'[1]1) Project Information'!$H$25</definedName>
    <definedName name="GenLanesB">'[2]1) Project Information'!$H$25</definedName>
    <definedName name="GenLanesNB" localSheetId="20">'[1]1) Project Information'!$G$25</definedName>
    <definedName name="GenLanesNB">'[2]1) Project Information'!$G$25</definedName>
    <definedName name="HOT" localSheetId="18">'[3]EmissRates(Cal-B C)'!#REF!</definedName>
    <definedName name="HOT" localSheetId="26">#REF!</definedName>
    <definedName name="HOT" localSheetId="20">Fuel.Use.Rate!#REF!</definedName>
    <definedName name="HOT" localSheetId="13">#REF!</definedName>
    <definedName name="HOT" localSheetId="10">#REF!</definedName>
    <definedName name="HOT" localSheetId="5">#REF!</definedName>
    <definedName name="HOT" localSheetId="6">#REF!</definedName>
    <definedName name="HOT" localSheetId="7">#REF!</definedName>
    <definedName name="HOT" localSheetId="8">#REF!</definedName>
    <definedName name="HOT">#REF!</definedName>
    <definedName name="HOTConv" localSheetId="18">'[3]EmissRates(Cal-B C)'!#REF!</definedName>
    <definedName name="HOTConv" localSheetId="26">#REF!</definedName>
    <definedName name="HOTConv" localSheetId="20">Fuel.Use.Rate!#REF!</definedName>
    <definedName name="HOTConv" localSheetId="13">#REF!</definedName>
    <definedName name="HOTConv" localSheetId="10">#REF!</definedName>
    <definedName name="HOTConv" localSheetId="5">#REF!</definedName>
    <definedName name="HOTConv" localSheetId="6">#REF!</definedName>
    <definedName name="HOTConv" localSheetId="7">#REF!</definedName>
    <definedName name="HOTConv" localSheetId="8">#REF!</definedName>
    <definedName name="HOTConv">#REF!</definedName>
    <definedName name="HOV" localSheetId="18">'[3]EmissRates(Cal-B C)'!#REF!</definedName>
    <definedName name="HOV" localSheetId="26">#REF!</definedName>
    <definedName name="HOV" localSheetId="20">Fuel.Use.Rate!#REF!</definedName>
    <definedName name="HOV" localSheetId="13">#REF!</definedName>
    <definedName name="HOV" localSheetId="10">#REF!</definedName>
    <definedName name="HOV" localSheetId="5">#REF!</definedName>
    <definedName name="HOV" localSheetId="6">#REF!</definedName>
    <definedName name="HOV" localSheetId="7">#REF!</definedName>
    <definedName name="HOV" localSheetId="8">#REF!</definedName>
    <definedName name="HOV">#REF!</definedName>
    <definedName name="HOV2to3" localSheetId="18">'[3]EmissRates(Cal-B C)'!#REF!</definedName>
    <definedName name="HOV2to3" localSheetId="26">#REF!</definedName>
    <definedName name="HOV2to3" localSheetId="20">Fuel.Use.Rate!#REF!</definedName>
    <definedName name="HOV2to3" localSheetId="13">#REF!</definedName>
    <definedName name="HOV2to3" localSheetId="10">#REF!</definedName>
    <definedName name="HOV2to3" localSheetId="5">#REF!</definedName>
    <definedName name="HOV2to3" localSheetId="6">#REF!</definedName>
    <definedName name="HOV2to3" localSheetId="7">#REF!</definedName>
    <definedName name="HOV2to3" localSheetId="8">#REF!</definedName>
    <definedName name="HOV2to3">#REF!</definedName>
    <definedName name="HOVAlpha" localSheetId="18">'[3]EmissRates(Cal-B C)'!#REF!</definedName>
    <definedName name="HOVAlpha" localSheetId="26">#REF!</definedName>
    <definedName name="HOVAlpha" localSheetId="20">Fuel.Use.Rate!#REF!</definedName>
    <definedName name="HOVAlpha" localSheetId="13">#REF!</definedName>
    <definedName name="HOVAlpha" localSheetId="10">#REF!</definedName>
    <definedName name="HOVAlpha" localSheetId="5">#REF!</definedName>
    <definedName name="HOVAlpha" localSheetId="6">#REF!</definedName>
    <definedName name="HOVAlpha" localSheetId="7">#REF!</definedName>
    <definedName name="HOVAlpha" localSheetId="8">#REF!</definedName>
    <definedName name="HOVAlpha">#REF!</definedName>
    <definedName name="HOVBeta" localSheetId="18">'[3]EmissRates(Cal-B C)'!#REF!</definedName>
    <definedName name="HOVBeta" localSheetId="26">#REF!</definedName>
    <definedName name="HOVBeta" localSheetId="20">Fuel.Use.Rate!#REF!</definedName>
    <definedName name="HOVBeta" localSheetId="13">#REF!</definedName>
    <definedName name="HOVBeta" localSheetId="10">#REF!</definedName>
    <definedName name="HOVBeta" localSheetId="5">#REF!</definedName>
    <definedName name="HOVBeta" localSheetId="6">#REF!</definedName>
    <definedName name="HOVBeta" localSheetId="7">#REF!</definedName>
    <definedName name="HOVBeta" localSheetId="8">#REF!</definedName>
    <definedName name="HOVBeta">#REF!</definedName>
    <definedName name="HOVConn" localSheetId="18">'[3]EmissRates(Cal-B C)'!#REF!</definedName>
    <definedName name="HOVConn" localSheetId="26">#REF!</definedName>
    <definedName name="HOVConn" localSheetId="20">Fuel.Use.Rate!#REF!</definedName>
    <definedName name="HOVConn" localSheetId="13">#REF!</definedName>
    <definedName name="HOVConn" localSheetId="10">#REF!</definedName>
    <definedName name="HOVConn" localSheetId="5">#REF!</definedName>
    <definedName name="HOVConn" localSheetId="6">#REF!</definedName>
    <definedName name="HOVConn" localSheetId="7">#REF!</definedName>
    <definedName name="HOVConn" localSheetId="8">#REF!</definedName>
    <definedName name="HOVConn">#REF!</definedName>
    <definedName name="HOVDrop" localSheetId="18">'[3]EmissRates(Cal-B C)'!#REF!</definedName>
    <definedName name="HOVDrop" localSheetId="26">#REF!</definedName>
    <definedName name="HOVDrop" localSheetId="20">Fuel.Use.Rate!#REF!</definedName>
    <definedName name="HOVDrop" localSheetId="13">#REF!</definedName>
    <definedName name="HOVDrop" localSheetId="10">#REF!</definedName>
    <definedName name="HOVDrop" localSheetId="5">#REF!</definedName>
    <definedName name="HOVDrop" localSheetId="6">#REF!</definedName>
    <definedName name="HOVDrop" localSheetId="7">#REF!</definedName>
    <definedName name="HOVDrop" localSheetId="8">#REF!</definedName>
    <definedName name="HOVDrop">#REF!</definedName>
    <definedName name="HOVLaneCap" localSheetId="18">'[3]EmissRates(Cal-B C)'!#REF!</definedName>
    <definedName name="HOVLaneCap" localSheetId="26">#REF!</definedName>
    <definedName name="HOVLaneCap" localSheetId="20">Fuel.Use.Rate!#REF!</definedName>
    <definedName name="HOVLaneCap" localSheetId="13">#REF!</definedName>
    <definedName name="HOVLaneCap" localSheetId="10">#REF!</definedName>
    <definedName name="HOVLaneCap" localSheetId="5">#REF!</definedName>
    <definedName name="HOVLaneCap" localSheetId="6">#REF!</definedName>
    <definedName name="HOVLaneCap" localSheetId="7">#REF!</definedName>
    <definedName name="HOVLaneCap" localSheetId="8">#REF!</definedName>
    <definedName name="HOVLaneCap">#REF!</definedName>
    <definedName name="HOVLanesB" localSheetId="20">'[1]1) Project Information'!$H$26</definedName>
    <definedName name="HOVLanesB">'[2]1) Project Information'!$H$26</definedName>
    <definedName name="HOVLanesNB" localSheetId="20">'[1]1) Project Information'!$G$26</definedName>
    <definedName name="HOVLanesNB">'[2]1) Project Information'!$G$26</definedName>
    <definedName name="HOVRest" localSheetId="20">'[1]1) Project Information'!$G$27</definedName>
    <definedName name="HOVRest">'[2]1) Project Information'!$G$27</definedName>
    <definedName name="HOVvolB" localSheetId="20">'[1]1) Project Information'!$H$40</definedName>
    <definedName name="HOVvolB">'[2]1) Project Information'!$H$40</definedName>
    <definedName name="HOVvolNB" localSheetId="20">'[1]1) Project Information'!$G$40</definedName>
    <definedName name="HOVvolNB">'[2]1) Project Information'!$G$40</definedName>
    <definedName name="HwyFatCost" localSheetId="18">'[3]EmissRates(Cal-B C)'!#REF!</definedName>
    <definedName name="HwyFatCost" localSheetId="26">#REF!</definedName>
    <definedName name="HwyFatCost" localSheetId="20">Fuel.Use.Rate!#REF!</definedName>
    <definedName name="HwyFatCost" localSheetId="13">#REF!</definedName>
    <definedName name="HwyFatCost" localSheetId="10">#REF!</definedName>
    <definedName name="HwyFatCost" localSheetId="5">#REF!</definedName>
    <definedName name="HwyFatCost" localSheetId="6">#REF!</definedName>
    <definedName name="HwyFatCost" localSheetId="7">#REF!</definedName>
    <definedName name="HwyFatCost" localSheetId="8">#REF!</definedName>
    <definedName name="HwyFatCost">#REF!</definedName>
    <definedName name="HwyFatCostA" localSheetId="18">'[3]EmissRates(Cal-B C)'!#REF!</definedName>
    <definedName name="HwyFatCostA" localSheetId="26">#REF!</definedName>
    <definedName name="HwyFatCostA" localSheetId="20">Fuel.Use.Rate!#REF!</definedName>
    <definedName name="HwyFatCostA" localSheetId="13">#REF!</definedName>
    <definedName name="HwyFatCostA" localSheetId="10">#REF!</definedName>
    <definedName name="HwyFatCostA" localSheetId="5">#REF!</definedName>
    <definedName name="HwyFatCostA" localSheetId="6">#REF!</definedName>
    <definedName name="HwyFatCostA" localSheetId="7">#REF!</definedName>
    <definedName name="HwyFatCostA" localSheetId="8">#REF!</definedName>
    <definedName name="HwyFatCostA">#REF!</definedName>
    <definedName name="HwyFatCostR" localSheetId="18">'[3]EmissRates(Cal-B C)'!#REF!</definedName>
    <definedName name="HwyFatCostR" localSheetId="26">#REF!</definedName>
    <definedName name="HwyFatCostR" localSheetId="20">Fuel.Use.Rate!#REF!</definedName>
    <definedName name="HwyFatCostR" localSheetId="13">#REF!</definedName>
    <definedName name="HwyFatCostR" localSheetId="10">#REF!</definedName>
    <definedName name="HwyFatCostR" localSheetId="5">#REF!</definedName>
    <definedName name="HwyFatCostR" localSheetId="6">#REF!</definedName>
    <definedName name="HwyFatCostR" localSheetId="7">#REF!</definedName>
    <definedName name="HwyFatCostR" localSheetId="8">#REF!</definedName>
    <definedName name="HwyFatCostR">#REF!</definedName>
    <definedName name="HwyFatCostS" localSheetId="18">'[3]EmissRates(Cal-B C)'!#REF!</definedName>
    <definedName name="HwyFatCostS" localSheetId="26">#REF!</definedName>
    <definedName name="HwyFatCostS" localSheetId="20">Fuel.Use.Rate!#REF!</definedName>
    <definedName name="HwyFatCostS" localSheetId="13">#REF!</definedName>
    <definedName name="HwyFatCostS" localSheetId="10">#REF!</definedName>
    <definedName name="HwyFatCostS" localSheetId="5">#REF!</definedName>
    <definedName name="HwyFatCostS" localSheetId="6">#REF!</definedName>
    <definedName name="HwyFatCostS" localSheetId="7">#REF!</definedName>
    <definedName name="HwyFatCostS" localSheetId="8">#REF!</definedName>
    <definedName name="HwyFatCostS">#REF!</definedName>
    <definedName name="HwyFatCostU" localSheetId="18">'[3]EmissRates(Cal-B C)'!#REF!</definedName>
    <definedName name="HwyFatCostU" localSheetId="26">#REF!</definedName>
    <definedName name="HwyFatCostU" localSheetId="20">Fuel.Use.Rate!#REF!</definedName>
    <definedName name="HwyFatCostU" localSheetId="13">#REF!</definedName>
    <definedName name="HwyFatCostU" localSheetId="10">#REF!</definedName>
    <definedName name="HwyFatCostU" localSheetId="5">#REF!</definedName>
    <definedName name="HwyFatCostU" localSheetId="6">#REF!</definedName>
    <definedName name="HwyFatCostU" localSheetId="7">#REF!</definedName>
    <definedName name="HwyFatCostU" localSheetId="8">#REF!</definedName>
    <definedName name="HwyFatCostU">#REF!</definedName>
    <definedName name="HwyInjCost" localSheetId="18">'[3]EmissRates(Cal-B C)'!#REF!</definedName>
    <definedName name="HwyInjCost" localSheetId="26">#REF!</definedName>
    <definedName name="HwyInjCost" localSheetId="20">Fuel.Use.Rate!#REF!</definedName>
    <definedName name="HwyInjCost" localSheetId="13">#REF!</definedName>
    <definedName name="HwyInjCost" localSheetId="10">#REF!</definedName>
    <definedName name="HwyInjCost" localSheetId="5">#REF!</definedName>
    <definedName name="HwyInjCost" localSheetId="6">#REF!</definedName>
    <definedName name="HwyInjCost" localSheetId="7">#REF!</definedName>
    <definedName name="HwyInjCost" localSheetId="8">#REF!</definedName>
    <definedName name="HwyInjCost">#REF!</definedName>
    <definedName name="HwyInjCostA" localSheetId="18">'[3]EmissRates(Cal-B C)'!#REF!</definedName>
    <definedName name="HwyInjCostA" localSheetId="26">#REF!</definedName>
    <definedName name="HwyInjCostA" localSheetId="20">Fuel.Use.Rate!#REF!</definedName>
    <definedName name="HwyInjCostA" localSheetId="13">#REF!</definedName>
    <definedName name="HwyInjCostA" localSheetId="10">#REF!</definedName>
    <definedName name="HwyInjCostA" localSheetId="5">#REF!</definedName>
    <definedName name="HwyInjCostA" localSheetId="6">#REF!</definedName>
    <definedName name="HwyInjCostA" localSheetId="7">#REF!</definedName>
    <definedName name="HwyInjCostA" localSheetId="8">#REF!</definedName>
    <definedName name="HwyInjCostA">#REF!</definedName>
    <definedName name="HwyInjCostR" localSheetId="18">'[3]EmissRates(Cal-B C)'!#REF!</definedName>
    <definedName name="HwyInjCostR" localSheetId="26">#REF!</definedName>
    <definedName name="HwyInjCostR" localSheetId="20">Fuel.Use.Rate!#REF!</definedName>
    <definedName name="HwyInjCostR" localSheetId="13">#REF!</definedName>
    <definedName name="HwyInjCostR" localSheetId="10">#REF!</definedName>
    <definedName name="HwyInjCostR" localSheetId="5">#REF!</definedName>
    <definedName name="HwyInjCostR" localSheetId="6">#REF!</definedName>
    <definedName name="HwyInjCostR" localSheetId="7">#REF!</definedName>
    <definedName name="HwyInjCostR" localSheetId="8">#REF!</definedName>
    <definedName name="HwyInjCostR">#REF!</definedName>
    <definedName name="HwyInjCostS" localSheetId="18">'[3]EmissRates(Cal-B C)'!#REF!</definedName>
    <definedName name="HwyInjCostS" localSheetId="26">#REF!</definedName>
    <definedName name="HwyInjCostS" localSheetId="20">Fuel.Use.Rate!#REF!</definedName>
    <definedName name="HwyInjCostS" localSheetId="13">#REF!</definedName>
    <definedName name="HwyInjCostS" localSheetId="10">#REF!</definedName>
    <definedName name="HwyInjCostS" localSheetId="5">#REF!</definedName>
    <definedName name="HwyInjCostS" localSheetId="6">#REF!</definedName>
    <definedName name="HwyInjCostS" localSheetId="7">#REF!</definedName>
    <definedName name="HwyInjCostS" localSheetId="8">#REF!</definedName>
    <definedName name="HwyInjCostS">#REF!</definedName>
    <definedName name="HwyInjCostU" localSheetId="18">'[3]EmissRates(Cal-B C)'!#REF!</definedName>
    <definedName name="HwyInjCostU" localSheetId="26">#REF!</definedName>
    <definedName name="HwyInjCostU" localSheetId="20">Fuel.Use.Rate!#REF!</definedName>
    <definedName name="HwyInjCostU" localSheetId="13">#REF!</definedName>
    <definedName name="HwyInjCostU" localSheetId="10">#REF!</definedName>
    <definedName name="HwyInjCostU" localSheetId="5">#REF!</definedName>
    <definedName name="HwyInjCostU" localSheetId="6">#REF!</definedName>
    <definedName name="HwyInjCostU" localSheetId="7">#REF!</definedName>
    <definedName name="HwyInjCostU" localSheetId="8">#REF!</definedName>
    <definedName name="HwyInjCostU">#REF!</definedName>
    <definedName name="HwyPDOCost" localSheetId="18">'[3]EmissRates(Cal-B C)'!#REF!</definedName>
    <definedName name="HwyPDOCost" localSheetId="26">#REF!</definedName>
    <definedName name="HwyPDOCost" localSheetId="20">Fuel.Use.Rate!#REF!</definedName>
    <definedName name="HwyPDOCost" localSheetId="13">#REF!</definedName>
    <definedName name="HwyPDOCost" localSheetId="10">#REF!</definedName>
    <definedName name="HwyPDOCost" localSheetId="5">#REF!</definedName>
    <definedName name="HwyPDOCost" localSheetId="6">#REF!</definedName>
    <definedName name="HwyPDOCost" localSheetId="7">#REF!</definedName>
    <definedName name="HwyPDOCost" localSheetId="8">#REF!</definedName>
    <definedName name="HwyPDOCost">#REF!</definedName>
    <definedName name="HwyPDOCostA" localSheetId="18">'[3]EmissRates(Cal-B C)'!#REF!</definedName>
    <definedName name="HwyPDOCostA" localSheetId="26">#REF!</definedName>
    <definedName name="HwyPDOCostA" localSheetId="20">Fuel.Use.Rate!#REF!</definedName>
    <definedName name="HwyPDOCostA" localSheetId="13">#REF!</definedName>
    <definedName name="HwyPDOCostA" localSheetId="10">#REF!</definedName>
    <definedName name="HwyPDOCostA" localSheetId="5">#REF!</definedName>
    <definedName name="HwyPDOCostA" localSheetId="6">#REF!</definedName>
    <definedName name="HwyPDOCostA" localSheetId="7">#REF!</definedName>
    <definedName name="HwyPDOCostA" localSheetId="8">#REF!</definedName>
    <definedName name="HwyPDOCostA">#REF!</definedName>
    <definedName name="HwyPDOCostR" localSheetId="18">'[3]EmissRates(Cal-B C)'!#REF!</definedName>
    <definedName name="HwyPDOCostR" localSheetId="26">#REF!</definedName>
    <definedName name="HwyPDOCostR" localSheetId="20">Fuel.Use.Rate!#REF!</definedName>
    <definedName name="HwyPDOCostR" localSheetId="13">#REF!</definedName>
    <definedName name="HwyPDOCostR" localSheetId="10">#REF!</definedName>
    <definedName name="HwyPDOCostR" localSheetId="5">#REF!</definedName>
    <definedName name="HwyPDOCostR" localSheetId="6">#REF!</definedName>
    <definedName name="HwyPDOCostR" localSheetId="7">#REF!</definedName>
    <definedName name="HwyPDOCostR" localSheetId="8">#REF!</definedName>
    <definedName name="HwyPDOCostR">#REF!</definedName>
    <definedName name="HwyPDOCostS" localSheetId="18">'[3]EmissRates(Cal-B C)'!#REF!</definedName>
    <definedName name="HwyPDOCostS" localSheetId="26">#REF!</definedName>
    <definedName name="HwyPDOCostS" localSheetId="20">Fuel.Use.Rate!#REF!</definedName>
    <definedName name="HwyPDOCostS" localSheetId="13">#REF!</definedName>
    <definedName name="HwyPDOCostS" localSheetId="10">#REF!</definedName>
    <definedName name="HwyPDOCostS" localSheetId="5">#REF!</definedName>
    <definedName name="HwyPDOCostS" localSheetId="6">#REF!</definedName>
    <definedName name="HwyPDOCostS" localSheetId="7">#REF!</definedName>
    <definedName name="HwyPDOCostS" localSheetId="8">#REF!</definedName>
    <definedName name="HwyPDOCostS">#REF!</definedName>
    <definedName name="HwyPDOCostU" localSheetId="18">'[3]EmissRates(Cal-B C)'!#REF!</definedName>
    <definedName name="HwyPDOCostU" localSheetId="26">#REF!</definedName>
    <definedName name="HwyPDOCostU" localSheetId="20">Fuel.Use.Rate!#REF!</definedName>
    <definedName name="HwyPDOCostU" localSheetId="13">#REF!</definedName>
    <definedName name="HwyPDOCostU" localSheetId="10">#REF!</definedName>
    <definedName name="HwyPDOCostU" localSheetId="5">#REF!</definedName>
    <definedName name="HwyPDOCostU" localSheetId="6">#REF!</definedName>
    <definedName name="HwyPDOCostU" localSheetId="7">#REF!</definedName>
    <definedName name="HwyPDOCostU" localSheetId="8">#REF!</definedName>
    <definedName name="HwyPDOCostU">#REF!</definedName>
    <definedName name="HwyRail" localSheetId="18">'[3]EmissRates(Cal-B C)'!#REF!</definedName>
    <definedName name="HwyRail" localSheetId="26">#REF!</definedName>
    <definedName name="HwyRail" localSheetId="20">Fuel.Use.Rate!#REF!</definedName>
    <definedName name="HwyRail" localSheetId="13">#REF!</definedName>
    <definedName name="HwyRail" localSheetId="10">#REF!</definedName>
    <definedName name="HwyRail" localSheetId="5">#REF!</definedName>
    <definedName name="HwyRail" localSheetId="6">#REF!</definedName>
    <definedName name="HwyRail" localSheetId="7">#REF!</definedName>
    <definedName name="HwyRail" localSheetId="8">#REF!</definedName>
    <definedName name="HwyRail">#REF!</definedName>
    <definedName name="i1b" localSheetId="3">#REF!</definedName>
    <definedName name="i1b" localSheetId="18">#REF!</definedName>
    <definedName name="i1b" localSheetId="22">#REF!</definedName>
    <definedName name="i1b" localSheetId="26">#REF!</definedName>
    <definedName name="i1b" localSheetId="13">#REF!</definedName>
    <definedName name="i1b" localSheetId="23">#REF!</definedName>
    <definedName name="i1b" localSheetId="4">ProjectCost!#REF!</definedName>
    <definedName name="i1b" localSheetId="10">#REF!</definedName>
    <definedName name="i1b" localSheetId="5">#REF!</definedName>
    <definedName name="i1b" localSheetId="6">#REF!</definedName>
    <definedName name="i1b" localSheetId="19">#REF!</definedName>
    <definedName name="i1b" localSheetId="7">#REF!</definedName>
    <definedName name="i1b" localSheetId="8">#REF!</definedName>
    <definedName name="i1b">#REF!</definedName>
    <definedName name="i1nb" localSheetId="3">#REF!</definedName>
    <definedName name="i1nb" localSheetId="18">#REF!</definedName>
    <definedName name="i1nb" localSheetId="22">#REF!</definedName>
    <definedName name="i1nb" localSheetId="26">#REF!</definedName>
    <definedName name="i1nb" localSheetId="13">#REF!</definedName>
    <definedName name="i1nb" localSheetId="23">#REF!</definedName>
    <definedName name="i1nb" localSheetId="4">ProjectCost!#REF!</definedName>
    <definedName name="i1nb" localSheetId="10">#REF!</definedName>
    <definedName name="i1nb" localSheetId="5">#REF!</definedName>
    <definedName name="i1nb" localSheetId="6">#REF!</definedName>
    <definedName name="i1nb" localSheetId="19">#REF!</definedName>
    <definedName name="i1nb" localSheetId="7">#REF!</definedName>
    <definedName name="i1nb" localSheetId="8">#REF!</definedName>
    <definedName name="i1nb">#REF!</definedName>
    <definedName name="i2b" localSheetId="3">#REF!</definedName>
    <definedName name="i2b" localSheetId="18">#REF!</definedName>
    <definedName name="i2b" localSheetId="22">#REF!</definedName>
    <definedName name="i2b" localSheetId="26">#REF!</definedName>
    <definedName name="i2b" localSheetId="13">#REF!</definedName>
    <definedName name="i2b" localSheetId="23">#REF!</definedName>
    <definedName name="i2b" localSheetId="4">ProjectCost!#REF!</definedName>
    <definedName name="i2b" localSheetId="10">#REF!</definedName>
    <definedName name="i2b" localSheetId="5">#REF!</definedName>
    <definedName name="i2b" localSheetId="6">#REF!</definedName>
    <definedName name="i2b" localSheetId="19">#REF!</definedName>
    <definedName name="i2b" localSheetId="7">#REF!</definedName>
    <definedName name="i2b" localSheetId="8">#REF!</definedName>
    <definedName name="i2b">#REF!</definedName>
    <definedName name="i2nb" localSheetId="3">#REF!</definedName>
    <definedName name="i2nb" localSheetId="18">#REF!</definedName>
    <definedName name="i2nb" localSheetId="22">#REF!</definedName>
    <definedName name="i2nb" localSheetId="26">#REF!</definedName>
    <definedName name="i2nb" localSheetId="13">#REF!</definedName>
    <definedName name="i2nb" localSheetId="23">#REF!</definedName>
    <definedName name="i2nb" localSheetId="4">ProjectCost!#REF!</definedName>
    <definedName name="i2nb" localSheetId="10">#REF!</definedName>
    <definedName name="i2nb" localSheetId="5">#REF!</definedName>
    <definedName name="i2nb" localSheetId="6">#REF!</definedName>
    <definedName name="i2nb" localSheetId="19">#REF!</definedName>
    <definedName name="i2nb" localSheetId="7">#REF!</definedName>
    <definedName name="i2nb" localSheetId="8">#REF!</definedName>
    <definedName name="i2nb">#REF!</definedName>
    <definedName name="IdleSpeed" localSheetId="18">'[3]EmissRates(Cal-B C)'!#REF!</definedName>
    <definedName name="IdleSpeed" localSheetId="26">#REF!</definedName>
    <definedName name="IdleSpeed" localSheetId="20">Fuel.Use.Rate!#REF!</definedName>
    <definedName name="IdleSpeed" localSheetId="13">#REF!</definedName>
    <definedName name="IdleSpeed" localSheetId="10">#REF!</definedName>
    <definedName name="IdleSpeed" localSheetId="5">#REF!</definedName>
    <definedName name="IdleSpeed" localSheetId="6">#REF!</definedName>
    <definedName name="IdleSpeed" localSheetId="7">#REF!</definedName>
    <definedName name="IdleSpeed" localSheetId="8">#REF!</definedName>
    <definedName name="IdleSpeed">#REF!</definedName>
    <definedName name="IM" localSheetId="18">'[3]EmissRates(Cal-B C)'!#REF!</definedName>
    <definedName name="IM" localSheetId="26">#REF!</definedName>
    <definedName name="IM" localSheetId="20">Fuel.Use.Rate!#REF!</definedName>
    <definedName name="IM" localSheetId="13">#REF!</definedName>
    <definedName name="IM" localSheetId="10">#REF!</definedName>
    <definedName name="IM" localSheetId="5">#REF!</definedName>
    <definedName name="IM" localSheetId="6">#REF!</definedName>
    <definedName name="IM" localSheetId="7">#REF!</definedName>
    <definedName name="IM" localSheetId="8">#REF!</definedName>
    <definedName name="IM">#REF!</definedName>
    <definedName name="ImpactedB" localSheetId="20">'[1]1) Project Information'!$H$33</definedName>
    <definedName name="ImpactedB">'[2]1) Project Information'!$H$33</definedName>
    <definedName name="ImpactedNB" localSheetId="20">'[1]1) Project Information'!$G$33</definedName>
    <definedName name="ImpactedNB">'[2]1) Project Information'!$G$33</definedName>
    <definedName name="Induced" localSheetId="20">'[1]3) Results'!$M$30</definedName>
    <definedName name="Induced">'[2]3) Results'!$M$30</definedName>
    <definedName name="Inj3Yr" localSheetId="20">'[1]1) Project Information'!$Q$13</definedName>
    <definedName name="Inj3Yr">'[2]1) Project Information'!$Q$13</definedName>
    <definedName name="InjAValue" localSheetId="18">'[3]EmissRates(Cal-B C)'!#REF!</definedName>
    <definedName name="InjAValue" localSheetId="26">#REF!</definedName>
    <definedName name="InjAValue" localSheetId="20">Fuel.Use.Rate!#REF!</definedName>
    <definedName name="InjAValue" localSheetId="13">#REF!</definedName>
    <definedName name="InjAValue" localSheetId="10">#REF!</definedName>
    <definedName name="InjAValue" localSheetId="5">#REF!</definedName>
    <definedName name="InjAValue" localSheetId="6">#REF!</definedName>
    <definedName name="InjAValue" localSheetId="7">#REF!</definedName>
    <definedName name="InjAValue" localSheetId="8">#REF!</definedName>
    <definedName name="InjAValue">#REF!</definedName>
    <definedName name="InjBValue" localSheetId="18">'[3]EmissRates(Cal-B C)'!#REF!</definedName>
    <definedName name="InjBValue" localSheetId="26">#REF!</definedName>
    <definedName name="InjBValue" localSheetId="20">Fuel.Use.Rate!#REF!</definedName>
    <definedName name="InjBValue" localSheetId="13">#REF!</definedName>
    <definedName name="InjBValue" localSheetId="10">#REF!</definedName>
    <definedName name="InjBValue" localSheetId="5">#REF!</definedName>
    <definedName name="InjBValue" localSheetId="6">#REF!</definedName>
    <definedName name="InjBValue" localSheetId="7">#REF!</definedName>
    <definedName name="InjBValue" localSheetId="8">#REF!</definedName>
    <definedName name="InjBValue">#REF!</definedName>
    <definedName name="InjCValue" localSheetId="18">'[3]EmissRates(Cal-B C)'!#REF!</definedName>
    <definedName name="InjCValue" localSheetId="26">#REF!</definedName>
    <definedName name="InjCValue" localSheetId="20">Fuel.Use.Rate!#REF!</definedName>
    <definedName name="InjCValue" localSheetId="13">#REF!</definedName>
    <definedName name="InjCValue" localSheetId="10">#REF!</definedName>
    <definedName name="InjCValue" localSheetId="5">#REF!</definedName>
    <definedName name="InjCValue" localSheetId="6">#REF!</definedName>
    <definedName name="InjCValue" localSheetId="7">#REF!</definedName>
    <definedName name="InjCValue" localSheetId="8">#REF!</definedName>
    <definedName name="InjCValue">#REF!</definedName>
    <definedName name="InjuryRateB" localSheetId="20">'[1]2) Model Inputs'!$U$21</definedName>
    <definedName name="InjuryRateB">'[2]2) Model Inputs'!$U$21</definedName>
    <definedName name="InjuryRateNB" localSheetId="20">'[1]2) Model Inputs'!$U$8</definedName>
    <definedName name="InjuryRateNB">'[2]2) Model Inputs'!$U$8</definedName>
    <definedName name="Intersect" localSheetId="18">'[3]EmissRates(Cal-B C)'!#REF!</definedName>
    <definedName name="Intersect" localSheetId="26">#REF!</definedName>
    <definedName name="Intersect" localSheetId="20">Fuel.Use.Rate!#REF!</definedName>
    <definedName name="Intersect" localSheetId="13">#REF!</definedName>
    <definedName name="Intersect" localSheetId="10">#REF!</definedName>
    <definedName name="Intersect" localSheetId="5">#REF!</definedName>
    <definedName name="Intersect" localSheetId="6">#REF!</definedName>
    <definedName name="Intersect" localSheetId="7">#REF!</definedName>
    <definedName name="Intersect" localSheetId="8">#REF!</definedName>
    <definedName name="Intersect">#REF!</definedName>
    <definedName name="intlstackRate">'[6]Tunnel Capacity'!$C$3</definedName>
    <definedName name="IRI1B" localSheetId="20">'[1]1) Project Information'!$H$55</definedName>
    <definedName name="IRI1B">'[2]1) Project Information'!$H$55</definedName>
    <definedName name="IRI1NB" localSheetId="20">'[1]1) Project Information'!$G$55</definedName>
    <definedName name="IRI1NB">'[2]1) Project Information'!$G$55</definedName>
    <definedName name="IRI20B" localSheetId="20">'[1]1) Project Information'!$H$56</definedName>
    <definedName name="IRI20B">'[2]1) Project Information'!$H$56</definedName>
    <definedName name="IRI20NB" localSheetId="20">'[1]1) Project Information'!$G$56</definedName>
    <definedName name="IRI20NB">'[2]1) Project Information'!$G$56</definedName>
    <definedName name="isabel" localSheetId="18">#REF!</definedName>
    <definedName name="isabel" localSheetId="13">#REF!</definedName>
    <definedName name="isabel" localSheetId="10">#REF!</definedName>
    <definedName name="isabel" localSheetId="5">#REF!</definedName>
    <definedName name="isabel" localSheetId="7">#REF!</definedName>
    <definedName name="isabel" localSheetId="8">#REF!</definedName>
    <definedName name="isabel">#REF!</definedName>
    <definedName name="LifeCycleBene" localSheetId="20">'[1]Final Calculations'!$O$55</definedName>
    <definedName name="LifeCycleBene">'[2]Final Calculations'!$O$55</definedName>
    <definedName name="LifeCycleCost" localSheetId="20">'[1]Final Calculations'!$P$55</definedName>
    <definedName name="LifeCycleCost">'[2]Final Calculations'!$P$55</definedName>
    <definedName name="LRT" localSheetId="18">'[3]EmissRates(Cal-B C)'!#REF!</definedName>
    <definedName name="LRT" localSheetId="26">#REF!</definedName>
    <definedName name="LRT" localSheetId="20">Fuel.Use.Rate!#REF!</definedName>
    <definedName name="LRT" localSheetId="13">#REF!</definedName>
    <definedName name="LRT" localSheetId="10">#REF!</definedName>
    <definedName name="LRT" localSheetId="5">#REF!</definedName>
    <definedName name="LRT" localSheetId="6">#REF!</definedName>
    <definedName name="LRT" localSheetId="7">#REF!</definedName>
    <definedName name="LRT" localSheetId="8">#REF!</definedName>
    <definedName name="LRT">#REF!</definedName>
    <definedName name="LRTAccCost" localSheetId="18">'[3]EmissRates(Cal-B C)'!#REF!</definedName>
    <definedName name="LRTAccCost" localSheetId="26">#REF!</definedName>
    <definedName name="LRTAccCost" localSheetId="20">Fuel.Use.Rate!#REF!</definedName>
    <definedName name="LRTAccCost" localSheetId="13">#REF!</definedName>
    <definedName name="LRTAccCost" localSheetId="10">#REF!</definedName>
    <definedName name="LRTAccCost" localSheetId="5">#REF!</definedName>
    <definedName name="LRTAccCost" localSheetId="6">#REF!</definedName>
    <definedName name="LRTAccCost" localSheetId="7">#REF!</definedName>
    <definedName name="LRTAccCost" localSheetId="8">#REF!</definedName>
    <definedName name="LRTAccCost">#REF!</definedName>
    <definedName name="maxLength">'[6]Tunnel Capacity'!$C$2</definedName>
    <definedName name="MaxVC" localSheetId="18">'[3]EmissRates(Cal-B C)'!#REF!</definedName>
    <definedName name="MaxVC" localSheetId="26">#REF!</definedName>
    <definedName name="MaxVC" localSheetId="20">Fuel.Use.Rate!#REF!</definedName>
    <definedName name="MaxVC" localSheetId="13">#REF!</definedName>
    <definedName name="MaxVC" localSheetId="10">#REF!</definedName>
    <definedName name="MaxVC" localSheetId="5">#REF!</definedName>
    <definedName name="MaxVC" localSheetId="6">#REF!</definedName>
    <definedName name="MaxVC" localSheetId="7">#REF!</definedName>
    <definedName name="MaxVC" localSheetId="8">#REF!</definedName>
    <definedName name="MaxVC">#REF!</definedName>
    <definedName name="MeterStrat" localSheetId="20">'[1]1) Project Information'!$G$48</definedName>
    <definedName name="MeterStrat">'[2]1) Project Information'!$G$48</definedName>
    <definedName name="MSOPT">[4]Inputs!$X$62</definedName>
    <definedName name="NetPresentValue" localSheetId="20">'[1]Final Calculations'!$Q$55</definedName>
    <definedName name="NetPresentValue">'[2]Final Calculations'!$Q$55</definedName>
    <definedName name="new" localSheetId="18">#REF!</definedName>
    <definedName name="new" localSheetId="13">#REF!</definedName>
    <definedName name="new" localSheetId="10">#REF!</definedName>
    <definedName name="new" localSheetId="5">#REF!</definedName>
    <definedName name="new" localSheetId="7">#REF!</definedName>
    <definedName name="new" localSheetId="8">#REF!</definedName>
    <definedName name="new">#REF!</definedName>
    <definedName name="newest" localSheetId="18">#REF!</definedName>
    <definedName name="newest" localSheetId="13">#REF!</definedName>
    <definedName name="newest" localSheetId="10">#REF!</definedName>
    <definedName name="newest" localSheetId="5">#REF!</definedName>
    <definedName name="newest" localSheetId="7">#REF!</definedName>
    <definedName name="newest" localSheetId="8">#REF!</definedName>
    <definedName name="newest">#REF!</definedName>
    <definedName name="newhg" localSheetId="18">#REF!</definedName>
    <definedName name="newhg" localSheetId="13">#REF!</definedName>
    <definedName name="newhg" localSheetId="10">#REF!</definedName>
    <definedName name="newhg" localSheetId="5">#REF!</definedName>
    <definedName name="newhg" localSheetId="7">#REF!</definedName>
    <definedName name="newhg" localSheetId="8">#REF!</definedName>
    <definedName name="newhg">#REF!</definedName>
    <definedName name="NNS1B" localSheetId="20">'[1]2) Model Inputs'!$I$62</definedName>
    <definedName name="NNS1B">'[2]2) Model Inputs'!$I$62</definedName>
    <definedName name="NNS1NB" localSheetId="20">'[1]2) Model Inputs'!$I$22</definedName>
    <definedName name="NNS1NB">'[2]2) Model Inputs'!$I$22</definedName>
    <definedName name="NNS20B" localSheetId="20">'[1]2) Model Inputs'!$I$81</definedName>
    <definedName name="NNS20B">'[2]2) Model Inputs'!$I$81</definedName>
    <definedName name="NNS20NB" localSheetId="20">'[1]2) Model Inputs'!$I$41</definedName>
    <definedName name="NNS20NB">'[2]2) Model Inputs'!$I$41</definedName>
    <definedName name="NNT1Ind" localSheetId="20">'[1]2) Model Inputs'!$AG$14</definedName>
    <definedName name="NNT1Ind">'[2]2) Model Inputs'!$AG$14</definedName>
    <definedName name="NNT20Ind" localSheetId="20">'[1]2) Model Inputs'!$AG$29</definedName>
    <definedName name="NNT20Ind">'[2]2) Model Inputs'!$AG$29</definedName>
    <definedName name="NNV1B" localSheetId="20">'[1]2) Model Inputs'!$I$59</definedName>
    <definedName name="NNV1B">'[2]2) Model Inputs'!$I$59</definedName>
    <definedName name="NNV1NB" localSheetId="20">'[1]2) Model Inputs'!$I$19</definedName>
    <definedName name="NNV1NB">'[2]2) Model Inputs'!$I$19</definedName>
    <definedName name="NNV20B" localSheetId="20">'[1]2) Model Inputs'!$I$78</definedName>
    <definedName name="NNV20B">'[2]2) Model Inputs'!$I$78</definedName>
    <definedName name="NNV20NB" localSheetId="20">'[1]2) Model Inputs'!$I$38</definedName>
    <definedName name="NNV20NB">'[2]2) Model Inputs'!$I$38</definedName>
    <definedName name="NoInjValue" localSheetId="18">'[3]EmissRates(Cal-B C)'!#REF!</definedName>
    <definedName name="NoInjValue" localSheetId="26">#REF!</definedName>
    <definedName name="NoInjValue" localSheetId="20">Fuel.Use.Rate!#REF!</definedName>
    <definedName name="NoInjValue" localSheetId="13">#REF!</definedName>
    <definedName name="NoInjValue" localSheetId="10">#REF!</definedName>
    <definedName name="NoInjValue" localSheetId="5">#REF!</definedName>
    <definedName name="NoInjValue" localSheetId="6">#REF!</definedName>
    <definedName name="NoInjValue" localSheetId="7">#REF!</definedName>
    <definedName name="NoInjValue" localSheetId="8">#REF!</definedName>
    <definedName name="NoInjValue">#REF!</definedName>
    <definedName name="NonFuelAuto" localSheetId="18">'[3]EmissRates(Cal-B C)'!#REF!</definedName>
    <definedName name="NonFuelAuto" localSheetId="26">#REF!</definedName>
    <definedName name="NonFuelAuto" localSheetId="20">Fuel.Use.Rate!#REF!</definedName>
    <definedName name="NonFuelAuto" localSheetId="13">#REF!</definedName>
    <definedName name="NonFuelAuto" localSheetId="10">#REF!</definedName>
    <definedName name="NonFuelAuto" localSheetId="5">#REF!</definedName>
    <definedName name="NonFuelAuto" localSheetId="6">#REF!</definedName>
    <definedName name="NonFuelAuto" localSheetId="7">#REF!</definedName>
    <definedName name="NonFuelAuto" localSheetId="8">#REF!</definedName>
    <definedName name="NonFuelAuto">#REF!</definedName>
    <definedName name="NonFuelPavAdj" localSheetId="18">'[3]EmissRates(Cal-B C)'!#REF!</definedName>
    <definedName name="NonFuelPavAdj" localSheetId="26">#REF!</definedName>
    <definedName name="NonFuelPavAdj" localSheetId="20">Fuel.Use.Rate!#REF!</definedName>
    <definedName name="NonFuelPavAdj" localSheetId="13">#REF!</definedName>
    <definedName name="NonFuelPavAdj" localSheetId="10">#REF!</definedName>
    <definedName name="NonFuelPavAdj" localSheetId="5">#REF!</definedName>
    <definedName name="NonFuelPavAdj" localSheetId="6">#REF!</definedName>
    <definedName name="NonFuelPavAdj" localSheetId="7">#REF!</definedName>
    <definedName name="NonFuelPavAdj" localSheetId="8">#REF!</definedName>
    <definedName name="NonFuelPavAdj">#REF!</definedName>
    <definedName name="NonFuelTruck" localSheetId="18">'[3]EmissRates(Cal-B C)'!#REF!</definedName>
    <definedName name="NonFuelTruck" localSheetId="26">#REF!</definedName>
    <definedName name="NonFuelTruck" localSheetId="20">Fuel.Use.Rate!#REF!</definedName>
    <definedName name="NonFuelTruck" localSheetId="13">#REF!</definedName>
    <definedName name="NonFuelTruck" localSheetId="10">#REF!</definedName>
    <definedName name="NonFuelTruck" localSheetId="5">#REF!</definedName>
    <definedName name="NonFuelTruck" localSheetId="6">#REF!</definedName>
    <definedName name="NonFuelTruck" localSheetId="7">#REF!</definedName>
    <definedName name="NonFuelTruck" localSheetId="8">#REF!</definedName>
    <definedName name="NonFuelTruck">#REF!</definedName>
    <definedName name="NonFwyAccRate" localSheetId="18">'[3]EmissRates(Cal-B C)'!#REF!</definedName>
    <definedName name="NonFwyAccRate" localSheetId="26">#REF!</definedName>
    <definedName name="NonFwyAccRate" localSheetId="20">Fuel.Use.Rate!#REF!</definedName>
    <definedName name="NonFwyAccRate" localSheetId="13">#REF!</definedName>
    <definedName name="NonFwyAccRate" localSheetId="10">#REF!</definedName>
    <definedName name="NonFwyAccRate" localSheetId="5">#REF!</definedName>
    <definedName name="NonFwyAccRate" localSheetId="6">#REF!</definedName>
    <definedName name="NonFwyAccRate" localSheetId="7">#REF!</definedName>
    <definedName name="NonFwyAccRate" localSheetId="8">#REF!</definedName>
    <definedName name="NonFwyAccRate">#REF!</definedName>
    <definedName name="NTS1B" localSheetId="20">'[1]2) Model Inputs'!$I$64</definedName>
    <definedName name="NTS1B">'[2]2) Model Inputs'!$I$64</definedName>
    <definedName name="NTS1NB" localSheetId="20">'[1]2) Model Inputs'!$I$24</definedName>
    <definedName name="NTS1NB">'[2]2) Model Inputs'!$I$24</definedName>
    <definedName name="NTS20B" localSheetId="20">'[1]2) Model Inputs'!$I$83</definedName>
    <definedName name="NTS20B">'[2]2) Model Inputs'!$I$83</definedName>
    <definedName name="NTS20NB" localSheetId="20">'[1]2) Model Inputs'!$I$43</definedName>
    <definedName name="NTS20NB">'[2]2) Model Inputs'!$I$43</definedName>
    <definedName name="NTT1Ind" localSheetId="20">'[1]2) Model Inputs'!$AG$15</definedName>
    <definedName name="NTT1Ind">'[2]2) Model Inputs'!$AG$15</definedName>
    <definedName name="NTT20Ind" localSheetId="20">'[1]2) Model Inputs'!$AG$30</definedName>
    <definedName name="NTT20Ind">'[2]2) Model Inputs'!$AG$30</definedName>
    <definedName name="NTV1B" localSheetId="20">'[1]2) Model Inputs'!$I$61</definedName>
    <definedName name="NTV1B">'[2]2) Model Inputs'!$I$61</definedName>
    <definedName name="NTV1NB" localSheetId="20">'[1]2) Model Inputs'!$I$21</definedName>
    <definedName name="NTV1NB">'[2]2) Model Inputs'!$I$21</definedName>
    <definedName name="NTV20B" localSheetId="20">'[1]2) Model Inputs'!$I$80</definedName>
    <definedName name="NTV20B">'[2]2) Model Inputs'!$I$80</definedName>
    <definedName name="NTV20NB" localSheetId="20">'[1]2) Model Inputs'!$I$40</definedName>
    <definedName name="NTV20NB">'[2]2) Model Inputs'!$I$40</definedName>
    <definedName name="NumDirections" localSheetId="20">'[1]1) Project Information'!$F$15</definedName>
    <definedName name="NumDirections">'[2]1) Project Information'!$F$15</definedName>
    <definedName name="NumTrain0" localSheetId="20">'[1]1) Project Information'!$O$48</definedName>
    <definedName name="NumTrain0">'[2]1) Project Information'!$O$48</definedName>
    <definedName name="NumTrain1" localSheetId="20">'[1]1) Project Information'!$P$48</definedName>
    <definedName name="NumTrain1">'[2]1) Project Information'!$P$48</definedName>
    <definedName name="NumTrain20" localSheetId="20">'[1]1) Project Information'!$Q$48</definedName>
    <definedName name="NumTrain20">'[2]1) Project Information'!$Q$48</definedName>
    <definedName name="NWS1B" localSheetId="20">'[1]2) Model Inputs'!$I$63</definedName>
    <definedName name="NWS1B">'[2]2) Model Inputs'!$I$63</definedName>
    <definedName name="NWS1NB" localSheetId="20">'[1]2) Model Inputs'!$I$23</definedName>
    <definedName name="NWS1NB">'[2]2) Model Inputs'!$I$23</definedName>
    <definedName name="NWS20B" localSheetId="20">'[1]2) Model Inputs'!$I$82</definedName>
    <definedName name="NWS20B">'[2]2) Model Inputs'!$I$82</definedName>
    <definedName name="NWS20NB" localSheetId="20">'[1]2) Model Inputs'!$I$42</definedName>
    <definedName name="NWS20NB">'[2]2) Model Inputs'!$I$42</definedName>
    <definedName name="NWV1B" localSheetId="20">'[1]2) Model Inputs'!$I$60</definedName>
    <definedName name="NWV1B">'[2]2) Model Inputs'!$I$60</definedName>
    <definedName name="NWV1NB" localSheetId="20">'[1]2) Model Inputs'!$I$20</definedName>
    <definedName name="NWV1NB">'[2]2) Model Inputs'!$I$20</definedName>
    <definedName name="NWV20B" localSheetId="20">'[1]2) Model Inputs'!$I$79</definedName>
    <definedName name="NWV20B">'[2]2) Model Inputs'!$I$79</definedName>
    <definedName name="NWV20NB" localSheetId="20">'[1]2) Model Inputs'!$I$39</definedName>
    <definedName name="NWV20NB">'[2]2) Model Inputs'!$I$39</definedName>
    <definedName name="OffRamp" localSheetId="18">'[3]EmissRates(Cal-B C)'!#REF!</definedName>
    <definedName name="OffRamp" localSheetId="26">#REF!</definedName>
    <definedName name="OffRamp" localSheetId="20">Fuel.Use.Rate!#REF!</definedName>
    <definedName name="OffRamp" localSheetId="13">#REF!</definedName>
    <definedName name="OffRamp" localSheetId="10">#REF!</definedName>
    <definedName name="OffRamp" localSheetId="5">#REF!</definedName>
    <definedName name="OffRamp" localSheetId="6">#REF!</definedName>
    <definedName name="OffRamp" localSheetId="7">#REF!</definedName>
    <definedName name="OffRamp" localSheetId="8">#REF!</definedName>
    <definedName name="OffRamp">#REF!</definedName>
    <definedName name="OnRamp" localSheetId="18">'[3]EmissRates(Cal-B C)'!#REF!</definedName>
    <definedName name="OnRamp" localSheetId="26">#REF!</definedName>
    <definedName name="OnRamp" localSheetId="20">Fuel.Use.Rate!#REF!</definedName>
    <definedName name="OnRamp" localSheetId="13">#REF!</definedName>
    <definedName name="OnRamp" localSheetId="10">#REF!</definedName>
    <definedName name="OnRamp" localSheetId="5">#REF!</definedName>
    <definedName name="OnRamp" localSheetId="6">#REF!</definedName>
    <definedName name="OnRamp" localSheetId="7">#REF!</definedName>
    <definedName name="OnRamp" localSheetId="8">#REF!</definedName>
    <definedName name="OnRamp">#REF!</definedName>
    <definedName name="Page1" localSheetId="18">#REF!</definedName>
    <definedName name="Page1" localSheetId="26">#REF!</definedName>
    <definedName name="Page1" localSheetId="13">#REF!</definedName>
    <definedName name="Page1" localSheetId="10">#REF!</definedName>
    <definedName name="Page1" localSheetId="5">#REF!</definedName>
    <definedName name="Page1" localSheetId="6">#REF!</definedName>
    <definedName name="Page1" localSheetId="7">#REF!</definedName>
    <definedName name="Page1" localSheetId="8">#REF!</definedName>
    <definedName name="Page1">#REF!</definedName>
    <definedName name="Page10" localSheetId="18">#REF!</definedName>
    <definedName name="Page10" localSheetId="26">#REF!</definedName>
    <definedName name="Page10" localSheetId="13">#REF!</definedName>
    <definedName name="Page10" localSheetId="10">#REF!</definedName>
    <definedName name="Page10" localSheetId="5">#REF!</definedName>
    <definedName name="Page10" localSheetId="6">#REF!</definedName>
    <definedName name="Page10" localSheetId="7">#REF!</definedName>
    <definedName name="Page10" localSheetId="8">#REF!</definedName>
    <definedName name="Page10">#REF!</definedName>
    <definedName name="Page11" localSheetId="18">#REF!</definedName>
    <definedName name="Page11" localSheetId="26">#REF!</definedName>
    <definedName name="Page11" localSheetId="13">#REF!</definedName>
    <definedName name="Page11" localSheetId="10">#REF!</definedName>
    <definedName name="Page11" localSheetId="5">#REF!</definedName>
    <definedName name="Page11" localSheetId="6">#REF!</definedName>
    <definedName name="Page11" localSheetId="7">#REF!</definedName>
    <definedName name="Page11" localSheetId="8">#REF!</definedName>
    <definedName name="Page11">#REF!</definedName>
    <definedName name="page11111" localSheetId="18">#REF!</definedName>
    <definedName name="page11111" localSheetId="13">#REF!</definedName>
    <definedName name="page11111" localSheetId="10">#REF!</definedName>
    <definedName name="page11111" localSheetId="5">#REF!</definedName>
    <definedName name="page11111" localSheetId="7">#REF!</definedName>
    <definedName name="page11111" localSheetId="8">#REF!</definedName>
    <definedName name="page11111">#REF!</definedName>
    <definedName name="Page12" localSheetId="18">#REF!</definedName>
    <definedName name="Page12" localSheetId="26">#REF!</definedName>
    <definedName name="Page12" localSheetId="13">#REF!</definedName>
    <definedName name="Page12" localSheetId="10">#REF!</definedName>
    <definedName name="Page12" localSheetId="5">#REF!</definedName>
    <definedName name="Page12" localSheetId="6">#REF!</definedName>
    <definedName name="Page12" localSheetId="7">#REF!</definedName>
    <definedName name="Page12" localSheetId="8">#REF!</definedName>
    <definedName name="Page12">#REF!</definedName>
    <definedName name="Page13" localSheetId="18">#REF!</definedName>
    <definedName name="Page13" localSheetId="26">#REF!</definedName>
    <definedName name="Page13" localSheetId="13">#REF!</definedName>
    <definedName name="Page13" localSheetId="10">#REF!</definedName>
    <definedName name="Page13" localSheetId="5">#REF!</definedName>
    <definedName name="Page13" localSheetId="6">#REF!</definedName>
    <definedName name="Page13" localSheetId="7">#REF!</definedName>
    <definedName name="Page13" localSheetId="8">#REF!</definedName>
    <definedName name="Page13">#REF!</definedName>
    <definedName name="Page14" localSheetId="18">#REF!</definedName>
    <definedName name="Page14" localSheetId="26">#REF!</definedName>
    <definedName name="Page14" localSheetId="13">#REF!</definedName>
    <definedName name="Page14" localSheetId="10">#REF!</definedName>
    <definedName name="Page14" localSheetId="5">#REF!</definedName>
    <definedName name="Page14" localSheetId="6">#REF!</definedName>
    <definedName name="Page14" localSheetId="7">#REF!</definedName>
    <definedName name="Page14" localSheetId="8">#REF!</definedName>
    <definedName name="Page14">#REF!</definedName>
    <definedName name="Page15" localSheetId="18">#REF!</definedName>
    <definedName name="Page15" localSheetId="26">#REF!</definedName>
    <definedName name="Page15" localSheetId="13">#REF!</definedName>
    <definedName name="Page15" localSheetId="10">#REF!</definedName>
    <definedName name="Page15" localSheetId="5">#REF!</definedName>
    <definedName name="Page15" localSheetId="6">#REF!</definedName>
    <definedName name="Page15" localSheetId="7">#REF!</definedName>
    <definedName name="Page15" localSheetId="8">#REF!</definedName>
    <definedName name="Page15">#REF!</definedName>
    <definedName name="Page16" localSheetId="18">#REF!</definedName>
    <definedName name="Page16" localSheetId="26">#REF!</definedName>
    <definedName name="Page16" localSheetId="13">#REF!</definedName>
    <definedName name="Page16" localSheetId="10">#REF!</definedName>
    <definedName name="Page16" localSheetId="5">#REF!</definedName>
    <definedName name="Page16" localSheetId="6">#REF!</definedName>
    <definedName name="Page16" localSheetId="7">#REF!</definedName>
    <definedName name="Page16" localSheetId="8">#REF!</definedName>
    <definedName name="Page16">#REF!</definedName>
    <definedName name="Page17" localSheetId="18">#REF!</definedName>
    <definedName name="Page17" localSheetId="26">#REF!</definedName>
    <definedName name="Page17" localSheetId="13">#REF!</definedName>
    <definedName name="Page17" localSheetId="10">#REF!</definedName>
    <definedName name="Page17" localSheetId="5">#REF!</definedName>
    <definedName name="Page17" localSheetId="6">#REF!</definedName>
    <definedName name="Page17" localSheetId="7">#REF!</definedName>
    <definedName name="Page17" localSheetId="8">#REF!</definedName>
    <definedName name="Page17">#REF!</definedName>
    <definedName name="Page18" localSheetId="18">#REF!</definedName>
    <definedName name="Page18" localSheetId="26">#REF!</definedName>
    <definedName name="Page18" localSheetId="13">#REF!</definedName>
    <definedName name="Page18" localSheetId="10">#REF!</definedName>
    <definedName name="Page18" localSheetId="5">#REF!</definedName>
    <definedName name="Page18" localSheetId="6">#REF!</definedName>
    <definedName name="Page18" localSheetId="7">#REF!</definedName>
    <definedName name="Page18" localSheetId="8">#REF!</definedName>
    <definedName name="Page18">#REF!</definedName>
    <definedName name="Page19" localSheetId="18">#REF!</definedName>
    <definedName name="Page19" localSheetId="26">#REF!</definedName>
    <definedName name="Page19" localSheetId="13">#REF!</definedName>
    <definedName name="Page19" localSheetId="10">#REF!</definedName>
    <definedName name="Page19" localSheetId="5">#REF!</definedName>
    <definedName name="Page19" localSheetId="6">#REF!</definedName>
    <definedName name="Page19" localSheetId="7">#REF!</definedName>
    <definedName name="Page19" localSheetId="8">#REF!</definedName>
    <definedName name="Page19">#REF!</definedName>
    <definedName name="Page2" localSheetId="18">#REF!</definedName>
    <definedName name="Page2" localSheetId="26">#REF!</definedName>
    <definedName name="Page2" localSheetId="13">#REF!</definedName>
    <definedName name="Page2" localSheetId="10">#REF!</definedName>
    <definedName name="Page2" localSheetId="5">#REF!</definedName>
    <definedName name="Page2" localSheetId="6">#REF!</definedName>
    <definedName name="Page2" localSheetId="7">#REF!</definedName>
    <definedName name="Page2" localSheetId="8">#REF!</definedName>
    <definedName name="Page2">#REF!</definedName>
    <definedName name="Page20" localSheetId="18">#REF!</definedName>
    <definedName name="Page20" localSheetId="26">#REF!</definedName>
    <definedName name="Page20" localSheetId="13">#REF!</definedName>
    <definedName name="Page20" localSheetId="10">#REF!</definedName>
    <definedName name="Page20" localSheetId="5">#REF!</definedName>
    <definedName name="Page20" localSheetId="6">#REF!</definedName>
    <definedName name="Page20" localSheetId="7">#REF!</definedName>
    <definedName name="Page20" localSheetId="8">#REF!</definedName>
    <definedName name="Page20">#REF!</definedName>
    <definedName name="Page21" localSheetId="18">#REF!</definedName>
    <definedName name="Page21" localSheetId="26">#REF!</definedName>
    <definedName name="Page21" localSheetId="13">#REF!</definedName>
    <definedName name="Page21" localSheetId="10">#REF!</definedName>
    <definedName name="Page21" localSheetId="5">#REF!</definedName>
    <definedName name="Page21" localSheetId="6">#REF!</definedName>
    <definedName name="Page21" localSheetId="7">#REF!</definedName>
    <definedName name="Page21" localSheetId="8">#REF!</definedName>
    <definedName name="Page21">#REF!</definedName>
    <definedName name="Page22" localSheetId="18">#REF!</definedName>
    <definedName name="Page22" localSheetId="26">#REF!</definedName>
    <definedName name="Page22" localSheetId="13">#REF!</definedName>
    <definedName name="Page22" localSheetId="10">#REF!</definedName>
    <definedName name="Page22" localSheetId="5">#REF!</definedName>
    <definedName name="Page22" localSheetId="6">#REF!</definedName>
    <definedName name="Page22" localSheetId="7">#REF!</definedName>
    <definedName name="Page22" localSheetId="8">#REF!</definedName>
    <definedName name="Page22">#REF!</definedName>
    <definedName name="Page23" localSheetId="18">#REF!</definedName>
    <definedName name="Page23" localSheetId="26">#REF!</definedName>
    <definedName name="Page23" localSheetId="13">#REF!</definedName>
    <definedName name="Page23" localSheetId="10">#REF!</definedName>
    <definedName name="Page23" localSheetId="5">#REF!</definedName>
    <definedName name="Page23" localSheetId="6">#REF!</definedName>
    <definedName name="Page23" localSheetId="7">#REF!</definedName>
    <definedName name="Page23" localSheetId="8">#REF!</definedName>
    <definedName name="Page23">#REF!</definedName>
    <definedName name="Page24" localSheetId="18">#REF!</definedName>
    <definedName name="Page24" localSheetId="26">#REF!</definedName>
    <definedName name="Page24" localSheetId="13">#REF!</definedName>
    <definedName name="Page24" localSheetId="10">#REF!</definedName>
    <definedName name="Page24" localSheetId="5">#REF!</definedName>
    <definedName name="Page24" localSheetId="6">#REF!</definedName>
    <definedName name="Page24" localSheetId="7">#REF!</definedName>
    <definedName name="Page24" localSheetId="8">#REF!</definedName>
    <definedName name="Page24">#REF!</definedName>
    <definedName name="Page25" localSheetId="18">#REF!</definedName>
    <definedName name="Page25" localSheetId="26">#REF!</definedName>
    <definedName name="Page25" localSheetId="13">#REF!</definedName>
    <definedName name="Page25" localSheetId="10">#REF!</definedName>
    <definedName name="Page25" localSheetId="5">#REF!</definedName>
    <definedName name="Page25" localSheetId="6">#REF!</definedName>
    <definedName name="Page25" localSheetId="7">#REF!</definedName>
    <definedName name="Page25" localSheetId="8">#REF!</definedName>
    <definedName name="Page25">#REF!</definedName>
    <definedName name="Page26" localSheetId="18">#REF!</definedName>
    <definedName name="Page26" localSheetId="26">#REF!</definedName>
    <definedName name="Page26" localSheetId="13">#REF!</definedName>
    <definedName name="Page26" localSheetId="10">#REF!</definedName>
    <definedName name="Page26" localSheetId="5">#REF!</definedName>
    <definedName name="Page26" localSheetId="6">#REF!</definedName>
    <definedName name="Page26" localSheetId="7">#REF!</definedName>
    <definedName name="Page26" localSheetId="8">#REF!</definedName>
    <definedName name="Page26">#REF!</definedName>
    <definedName name="Page27" localSheetId="18">#REF!</definedName>
    <definedName name="Page27" localSheetId="26">#REF!</definedName>
    <definedName name="Page27" localSheetId="13">#REF!</definedName>
    <definedName name="Page27" localSheetId="10">#REF!</definedName>
    <definedName name="Page27" localSheetId="5">#REF!</definedName>
    <definedName name="Page27" localSheetId="6">#REF!</definedName>
    <definedName name="Page27" localSheetId="7">#REF!</definedName>
    <definedName name="Page27" localSheetId="8">#REF!</definedName>
    <definedName name="Page27">#REF!</definedName>
    <definedName name="Page28" localSheetId="18">#REF!</definedName>
    <definedName name="Page28" localSheetId="26">#REF!</definedName>
    <definedName name="Page28" localSheetId="13">#REF!</definedName>
    <definedName name="Page28" localSheetId="10">#REF!</definedName>
    <definedName name="Page28" localSheetId="5">#REF!</definedName>
    <definedName name="Page28" localSheetId="6">#REF!</definedName>
    <definedName name="Page28" localSheetId="7">#REF!</definedName>
    <definedName name="Page28" localSheetId="8">#REF!</definedName>
    <definedName name="Page28">#REF!</definedName>
    <definedName name="Page29" localSheetId="18">#REF!</definedName>
    <definedName name="Page29" localSheetId="26">#REF!</definedName>
    <definedName name="Page29" localSheetId="13">#REF!</definedName>
    <definedName name="Page29" localSheetId="10">#REF!</definedName>
    <definedName name="Page29" localSheetId="5">#REF!</definedName>
    <definedName name="Page29" localSheetId="6">#REF!</definedName>
    <definedName name="Page29" localSheetId="7">#REF!</definedName>
    <definedName name="Page29" localSheetId="8">#REF!</definedName>
    <definedName name="Page29">#REF!</definedName>
    <definedName name="Page3" localSheetId="18">#REF!</definedName>
    <definedName name="Page3" localSheetId="26">#REF!</definedName>
    <definedName name="Page3" localSheetId="13">#REF!</definedName>
    <definedName name="Page3" localSheetId="10">#REF!</definedName>
    <definedName name="Page3" localSheetId="5">#REF!</definedName>
    <definedName name="Page3" localSheetId="6">#REF!</definedName>
    <definedName name="Page3" localSheetId="7">#REF!</definedName>
    <definedName name="Page3" localSheetId="8">#REF!</definedName>
    <definedName name="Page3">#REF!</definedName>
    <definedName name="Page30" localSheetId="18">#REF!</definedName>
    <definedName name="Page30" localSheetId="26">#REF!</definedName>
    <definedName name="Page30" localSheetId="13">#REF!</definedName>
    <definedName name="Page30" localSheetId="10">#REF!</definedName>
    <definedName name="Page30" localSheetId="5">#REF!</definedName>
    <definedName name="Page30" localSheetId="6">#REF!</definedName>
    <definedName name="Page30" localSheetId="7">#REF!</definedName>
    <definedName name="Page30" localSheetId="8">#REF!</definedName>
    <definedName name="Page30">#REF!</definedName>
    <definedName name="Page31" localSheetId="18">#REF!</definedName>
    <definedName name="Page31" localSheetId="26">#REF!</definedName>
    <definedName name="Page31" localSheetId="13">#REF!</definedName>
    <definedName name="Page31" localSheetId="10">#REF!</definedName>
    <definedName name="Page31" localSheetId="5">#REF!</definedName>
    <definedName name="Page31" localSheetId="6">#REF!</definedName>
    <definedName name="Page31" localSheetId="7">#REF!</definedName>
    <definedName name="Page31" localSheetId="8">#REF!</definedName>
    <definedName name="Page31">#REF!</definedName>
    <definedName name="Page32" localSheetId="18">#REF!</definedName>
    <definedName name="Page32" localSheetId="26">#REF!</definedName>
    <definedName name="Page32" localSheetId="13">#REF!</definedName>
    <definedName name="Page32" localSheetId="10">#REF!</definedName>
    <definedName name="Page32" localSheetId="5">#REF!</definedName>
    <definedName name="Page32" localSheetId="6">#REF!</definedName>
    <definedName name="Page32" localSheetId="7">#REF!</definedName>
    <definedName name="Page32" localSheetId="8">#REF!</definedName>
    <definedName name="Page32">#REF!</definedName>
    <definedName name="Page33" localSheetId="18">#REF!</definedName>
    <definedName name="Page33" localSheetId="26">#REF!</definedName>
    <definedName name="Page33" localSheetId="13">#REF!</definedName>
    <definedName name="Page33" localSheetId="10">#REF!</definedName>
    <definedName name="Page33" localSheetId="5">#REF!</definedName>
    <definedName name="Page33" localSheetId="6">#REF!</definedName>
    <definedName name="Page33" localSheetId="7">#REF!</definedName>
    <definedName name="Page33" localSheetId="8">#REF!</definedName>
    <definedName name="Page33">#REF!</definedName>
    <definedName name="Page34" localSheetId="18">#REF!</definedName>
    <definedName name="Page34" localSheetId="26">#REF!</definedName>
    <definedName name="Page34" localSheetId="13">#REF!</definedName>
    <definedName name="Page34" localSheetId="10">#REF!</definedName>
    <definedName name="Page34" localSheetId="5">#REF!</definedName>
    <definedName name="Page34" localSheetId="6">#REF!</definedName>
    <definedName name="Page34" localSheetId="7">#REF!</definedName>
    <definedName name="Page34" localSheetId="8">#REF!</definedName>
    <definedName name="Page34">#REF!</definedName>
    <definedName name="Page35" localSheetId="18">#REF!</definedName>
    <definedName name="Page35" localSheetId="26">#REF!</definedName>
    <definedName name="Page35" localSheetId="13">#REF!</definedName>
    <definedName name="Page35" localSheetId="10">#REF!</definedName>
    <definedName name="Page35" localSheetId="5">#REF!</definedName>
    <definedName name="Page35" localSheetId="6">#REF!</definedName>
    <definedName name="Page35" localSheetId="7">#REF!</definedName>
    <definedName name="Page35" localSheetId="8">#REF!</definedName>
    <definedName name="Page35">#REF!</definedName>
    <definedName name="Page36" localSheetId="18">#REF!</definedName>
    <definedName name="Page36" localSheetId="26">#REF!</definedName>
    <definedName name="Page36" localSheetId="13">#REF!</definedName>
    <definedName name="Page36" localSheetId="10">#REF!</definedName>
    <definedName name="Page36" localSheetId="5">#REF!</definedName>
    <definedName name="Page36" localSheetId="6">#REF!</definedName>
    <definedName name="Page36" localSheetId="7">#REF!</definedName>
    <definedName name="Page36" localSheetId="8">#REF!</definedName>
    <definedName name="Page36">#REF!</definedName>
    <definedName name="Page37" localSheetId="18">#REF!</definedName>
    <definedName name="Page37" localSheetId="26">#REF!</definedName>
    <definedName name="Page37" localSheetId="13">#REF!</definedName>
    <definedName name="Page37" localSheetId="10">#REF!</definedName>
    <definedName name="Page37" localSheetId="5">#REF!</definedName>
    <definedName name="Page37" localSheetId="6">#REF!</definedName>
    <definedName name="Page37" localSheetId="7">#REF!</definedName>
    <definedName name="Page37" localSheetId="8">#REF!</definedName>
    <definedName name="Page37">#REF!</definedName>
    <definedName name="Page38" localSheetId="18">#REF!</definedName>
    <definedName name="Page38" localSheetId="26">#REF!</definedName>
    <definedName name="Page38" localSheetId="13">#REF!</definedName>
    <definedName name="Page38" localSheetId="10">#REF!</definedName>
    <definedName name="Page38" localSheetId="5">#REF!</definedName>
    <definedName name="Page38" localSheetId="6">#REF!</definedName>
    <definedName name="Page38" localSheetId="7">#REF!</definedName>
    <definedName name="Page38" localSheetId="8">#REF!</definedName>
    <definedName name="Page38">#REF!</definedName>
    <definedName name="Page39" localSheetId="18">#REF!</definedName>
    <definedName name="Page39" localSheetId="26">#REF!</definedName>
    <definedName name="Page39" localSheetId="13">#REF!</definedName>
    <definedName name="Page39" localSheetId="10">#REF!</definedName>
    <definedName name="Page39" localSheetId="5">#REF!</definedName>
    <definedName name="Page39" localSheetId="6">#REF!</definedName>
    <definedName name="Page39" localSheetId="7">#REF!</definedName>
    <definedName name="Page39" localSheetId="8">#REF!</definedName>
    <definedName name="Page39">#REF!</definedName>
    <definedName name="Page4" localSheetId="18">#REF!</definedName>
    <definedName name="Page4" localSheetId="26">#REF!</definedName>
    <definedName name="Page4" localSheetId="13">#REF!</definedName>
    <definedName name="Page4" localSheetId="10">#REF!</definedName>
    <definedName name="Page4" localSheetId="5">#REF!</definedName>
    <definedName name="Page4" localSheetId="6">#REF!</definedName>
    <definedName name="Page4" localSheetId="7">#REF!</definedName>
    <definedName name="Page4" localSheetId="8">#REF!</definedName>
    <definedName name="Page4">#REF!</definedName>
    <definedName name="Page40" localSheetId="18">#REF!</definedName>
    <definedName name="Page40" localSheetId="26">#REF!</definedName>
    <definedName name="Page40" localSheetId="13">#REF!</definedName>
    <definedName name="Page40" localSheetId="10">#REF!</definedName>
    <definedName name="Page40" localSheetId="5">#REF!</definedName>
    <definedName name="Page40" localSheetId="6">#REF!</definedName>
    <definedName name="Page40" localSheetId="7">#REF!</definedName>
    <definedName name="Page40" localSheetId="8">#REF!</definedName>
    <definedName name="Page40">#REF!</definedName>
    <definedName name="Page41" localSheetId="18">#REF!</definedName>
    <definedName name="Page41" localSheetId="26">#REF!</definedName>
    <definedName name="Page41" localSheetId="13">#REF!</definedName>
    <definedName name="Page41" localSheetId="10">#REF!</definedName>
    <definedName name="Page41" localSheetId="5">#REF!</definedName>
    <definedName name="Page41" localSheetId="6">#REF!</definedName>
    <definedName name="Page41" localSheetId="7">#REF!</definedName>
    <definedName name="Page41" localSheetId="8">#REF!</definedName>
    <definedName name="Page41">#REF!</definedName>
    <definedName name="Page42" localSheetId="18">#REF!</definedName>
    <definedName name="Page42" localSheetId="26">#REF!</definedName>
    <definedName name="Page42" localSheetId="13">#REF!</definedName>
    <definedName name="Page42" localSheetId="10">#REF!</definedName>
    <definedName name="Page42" localSheetId="5">#REF!</definedName>
    <definedName name="Page42" localSheetId="6">#REF!</definedName>
    <definedName name="Page42" localSheetId="7">#REF!</definedName>
    <definedName name="Page42" localSheetId="8">#REF!</definedName>
    <definedName name="Page42">#REF!</definedName>
    <definedName name="Page43" localSheetId="18">#REF!</definedName>
    <definedName name="Page43" localSheetId="26">#REF!</definedName>
    <definedName name="Page43" localSheetId="13">#REF!</definedName>
    <definedName name="Page43" localSheetId="10">#REF!</definedName>
    <definedName name="Page43" localSheetId="5">#REF!</definedName>
    <definedName name="Page43" localSheetId="6">#REF!</definedName>
    <definedName name="Page43" localSheetId="7">#REF!</definedName>
    <definedName name="Page43" localSheetId="8">#REF!</definedName>
    <definedName name="Page43">#REF!</definedName>
    <definedName name="Page44" localSheetId="18">#REF!</definedName>
    <definedName name="Page44" localSheetId="26">#REF!</definedName>
    <definedName name="Page44" localSheetId="13">#REF!</definedName>
    <definedName name="Page44" localSheetId="10">#REF!</definedName>
    <definedName name="Page44" localSheetId="5">#REF!</definedName>
    <definedName name="Page44" localSheetId="6">#REF!</definedName>
    <definedName name="Page44" localSheetId="7">#REF!</definedName>
    <definedName name="Page44" localSheetId="8">#REF!</definedName>
    <definedName name="Page44">#REF!</definedName>
    <definedName name="Page45" localSheetId="18">#REF!</definedName>
    <definedName name="Page45" localSheetId="26">#REF!</definedName>
    <definedName name="Page45" localSheetId="13">#REF!</definedName>
    <definedName name="Page45" localSheetId="10">#REF!</definedName>
    <definedName name="Page45" localSheetId="5">#REF!</definedName>
    <definedName name="Page45" localSheetId="6">#REF!</definedName>
    <definedName name="Page45" localSheetId="7">#REF!</definedName>
    <definedName name="Page45" localSheetId="8">#REF!</definedName>
    <definedName name="Page45">#REF!</definedName>
    <definedName name="Page5" localSheetId="18">#REF!</definedName>
    <definedName name="Page5" localSheetId="26">#REF!</definedName>
    <definedName name="Page5" localSheetId="13">#REF!</definedName>
    <definedName name="Page5" localSheetId="10">#REF!</definedName>
    <definedName name="Page5" localSheetId="5">#REF!</definedName>
    <definedName name="Page5" localSheetId="6">#REF!</definedName>
    <definedName name="Page5" localSheetId="7">#REF!</definedName>
    <definedName name="Page5" localSheetId="8">#REF!</definedName>
    <definedName name="Page5">#REF!</definedName>
    <definedName name="Page6" localSheetId="18">#REF!</definedName>
    <definedName name="Page6" localSheetId="26">#REF!</definedName>
    <definedName name="Page6" localSheetId="13">#REF!</definedName>
    <definedName name="Page6" localSheetId="10">#REF!</definedName>
    <definedName name="Page6" localSheetId="5">#REF!</definedName>
    <definedName name="Page6" localSheetId="6">#REF!</definedName>
    <definedName name="Page6" localSheetId="7">#REF!</definedName>
    <definedName name="Page6" localSheetId="8">#REF!</definedName>
    <definedName name="Page6">#REF!</definedName>
    <definedName name="Page7" localSheetId="18">#REF!</definedName>
    <definedName name="Page7" localSheetId="26">#REF!</definedName>
    <definedName name="Page7" localSheetId="13">#REF!</definedName>
    <definedName name="Page7" localSheetId="10">#REF!</definedName>
    <definedName name="Page7" localSheetId="5">#REF!</definedName>
    <definedName name="Page7" localSheetId="6">#REF!</definedName>
    <definedName name="Page7" localSheetId="7">#REF!</definedName>
    <definedName name="Page7" localSheetId="8">#REF!</definedName>
    <definedName name="Page7">#REF!</definedName>
    <definedName name="Page8" localSheetId="18">#REF!</definedName>
    <definedName name="Page8" localSheetId="26">#REF!</definedName>
    <definedName name="Page8" localSheetId="13">#REF!</definedName>
    <definedName name="Page8" localSheetId="10">#REF!</definedName>
    <definedName name="Page8" localSheetId="5">#REF!</definedName>
    <definedName name="Page8" localSheetId="6">#REF!</definedName>
    <definedName name="Page8" localSheetId="7">#REF!</definedName>
    <definedName name="Page8" localSheetId="8">#REF!</definedName>
    <definedName name="Page8">#REF!</definedName>
    <definedName name="Page9" localSheetId="18">#REF!</definedName>
    <definedName name="Page9" localSheetId="26">#REF!</definedName>
    <definedName name="Page9" localSheetId="13">#REF!</definedName>
    <definedName name="Page9" localSheetId="10">#REF!</definedName>
    <definedName name="Page9" localSheetId="5">#REF!</definedName>
    <definedName name="Page9" localSheetId="6">#REF!</definedName>
    <definedName name="Page9" localSheetId="7">#REF!</definedName>
    <definedName name="Page9" localSheetId="8">#REF!</definedName>
    <definedName name="Page9">#REF!</definedName>
    <definedName name="PAS1B" localSheetId="20">'[1]2) Model Inputs'!$U$68</definedName>
    <definedName name="PAS1B">'[2]2) Model Inputs'!$U$68</definedName>
    <definedName name="PAS1NB" localSheetId="20">'[1]2) Model Inputs'!$U$54</definedName>
    <definedName name="PAS1NB">'[2]2) Model Inputs'!$U$54</definedName>
    <definedName name="PAS20B" localSheetId="20">'[1]2) Model Inputs'!$U$74</definedName>
    <definedName name="PAS20B">'[2]2) Model Inputs'!$U$74</definedName>
    <definedName name="PAS20NB" localSheetId="20">'[1]2) Model Inputs'!$U$60</definedName>
    <definedName name="PAS20NB">'[2]2) Model Inputs'!$U$60</definedName>
    <definedName name="PassAccReduce" localSheetId="18">'[3]EmissRates(Cal-B C)'!#REF!</definedName>
    <definedName name="PassAccReduce" localSheetId="26">#REF!</definedName>
    <definedName name="PassAccReduce" localSheetId="20">Fuel.Use.Rate!#REF!</definedName>
    <definedName name="PassAccReduce" localSheetId="13">#REF!</definedName>
    <definedName name="PassAccReduce" localSheetId="10">#REF!</definedName>
    <definedName name="PassAccReduce" localSheetId="5">#REF!</definedName>
    <definedName name="PassAccReduce" localSheetId="6">#REF!</definedName>
    <definedName name="PassAccReduce" localSheetId="7">#REF!</definedName>
    <definedName name="PassAccReduce" localSheetId="8">#REF!</definedName>
    <definedName name="PassAccReduce">#REF!</definedName>
    <definedName name="Passing" localSheetId="18">'[3]EmissRates(Cal-B C)'!#REF!</definedName>
    <definedName name="Passing" localSheetId="26">#REF!</definedName>
    <definedName name="Passing" localSheetId="20">Fuel.Use.Rate!#REF!</definedName>
    <definedName name="Passing" localSheetId="13">#REF!</definedName>
    <definedName name="Passing" localSheetId="10">#REF!</definedName>
    <definedName name="Passing" localSheetId="5">#REF!</definedName>
    <definedName name="Passing" localSheetId="6">#REF!</definedName>
    <definedName name="Passing" localSheetId="7">#REF!</definedName>
    <definedName name="Passing" localSheetId="8">#REF!</definedName>
    <definedName name="Passing">#REF!</definedName>
    <definedName name="PassRail" localSheetId="18">'[3]EmissRates(Cal-B C)'!#REF!</definedName>
    <definedName name="PassRail" localSheetId="26">#REF!</definedName>
    <definedName name="PassRail" localSheetId="20">Fuel.Use.Rate!#REF!</definedName>
    <definedName name="PassRail" localSheetId="13">#REF!</definedName>
    <definedName name="PassRail" localSheetId="10">#REF!</definedName>
    <definedName name="PassRail" localSheetId="5">#REF!</definedName>
    <definedName name="PassRail" localSheetId="6">#REF!</definedName>
    <definedName name="PassRail" localSheetId="7">#REF!</definedName>
    <definedName name="PassRail" localSheetId="8">#REF!</definedName>
    <definedName name="PassRail">#REF!</definedName>
    <definedName name="PassRailAccCost" localSheetId="18">'[3]EmissRates(Cal-B C)'!#REF!</definedName>
    <definedName name="PassRailAccCost" localSheetId="26">#REF!</definedName>
    <definedName name="PassRailAccCost" localSheetId="20">Fuel.Use.Rate!#REF!</definedName>
    <definedName name="PassRailAccCost" localSheetId="13">#REF!</definedName>
    <definedName name="PassRailAccCost" localSheetId="10">#REF!</definedName>
    <definedName name="PassRailAccCost" localSheetId="5">#REF!</definedName>
    <definedName name="PassRailAccCost" localSheetId="6">#REF!</definedName>
    <definedName name="PassRailAccCost" localSheetId="7">#REF!</definedName>
    <definedName name="PassRailAccCost" localSheetId="8">#REF!</definedName>
    <definedName name="PassRailAccCost">#REF!</definedName>
    <definedName name="PAV1B" localSheetId="20">'[1]2) Model Inputs'!$U$66</definedName>
    <definedName name="PAV1B">'[2]2) Model Inputs'!$U$66</definedName>
    <definedName name="PAV1NB" localSheetId="20">'[1]2) Model Inputs'!$U$52</definedName>
    <definedName name="PAV1NB">'[2]2) Model Inputs'!$U$52</definedName>
    <definedName name="PAV20B" localSheetId="20">'[1]2) Model Inputs'!$U$72</definedName>
    <definedName name="PAV20B">'[2]2) Model Inputs'!$U$72</definedName>
    <definedName name="PAV20NB" localSheetId="20">'[1]2) Model Inputs'!$U$58</definedName>
    <definedName name="PAV20NB">'[2]2) Model Inputs'!$U$58</definedName>
    <definedName name="PaveDet" localSheetId="18">'[3]EmissRates(Cal-B C)'!#REF!</definedName>
    <definedName name="PaveDet" localSheetId="26">#REF!</definedName>
    <definedName name="PaveDet" localSheetId="20">Fuel.Use.Rate!#REF!</definedName>
    <definedName name="PaveDet" localSheetId="13">#REF!</definedName>
    <definedName name="PaveDet" localSheetId="10">#REF!</definedName>
    <definedName name="PaveDet" localSheetId="5">#REF!</definedName>
    <definedName name="PaveDet" localSheetId="6">#REF!</definedName>
    <definedName name="PaveDet" localSheetId="7">#REF!</definedName>
    <definedName name="PaveDet" localSheetId="8">#REF!</definedName>
    <definedName name="PaveDet">#REF!</definedName>
    <definedName name="Pavement" localSheetId="18">'[3]EmissRates(Cal-B C)'!#REF!</definedName>
    <definedName name="Pavement" localSheetId="26">#REF!</definedName>
    <definedName name="Pavement" localSheetId="20">Fuel.Use.Rate!#REF!</definedName>
    <definedName name="Pavement" localSheetId="13">#REF!</definedName>
    <definedName name="Pavement" localSheetId="10">#REF!</definedName>
    <definedName name="Pavement" localSheetId="5">#REF!</definedName>
    <definedName name="Pavement" localSheetId="6">#REF!</definedName>
    <definedName name="Pavement" localSheetId="7">#REF!</definedName>
    <definedName name="Pavement" localSheetId="8">#REF!</definedName>
    <definedName name="Pavement">#REF!</definedName>
    <definedName name="Payback" localSheetId="20">'[1]Final Calculations'!$AM$58</definedName>
    <definedName name="Payback">'[2]Final Calculations'!$AM$58</definedName>
    <definedName name="Pdo3Yr" localSheetId="20">'[1]1) Project Information'!$Q$14</definedName>
    <definedName name="Pdo3Yr">'[2]1) Project Information'!$Q$14</definedName>
    <definedName name="PDORateB" localSheetId="20">'[1]2) Model Inputs'!$U$22</definedName>
    <definedName name="PDORateB">'[2]2) Model Inputs'!$U$22</definedName>
    <definedName name="PDORateNB" localSheetId="20">'[1]2) Model Inputs'!$U$9</definedName>
    <definedName name="PDORateNB">'[2]2) Model Inputs'!$U$9</definedName>
    <definedName name="PEAKLENA">[4]Defaults!$J$103:$J$109</definedName>
    <definedName name="PeakLngthNB" localSheetId="20">'[1]1) Project Information'!$F$17</definedName>
    <definedName name="PeakLngthNB">'[2]1) Project Information'!$F$17</definedName>
    <definedName name="PerIndHOV" localSheetId="20">'[1]1) Project Information'!$H$41</definedName>
    <definedName name="PerIndHOV">'[2]1) Project Information'!$H$41</definedName>
    <definedName name="PerPeakADT" localSheetId="18">'[3]EmissRates(Cal-B C)'!#REF!</definedName>
    <definedName name="PerPeakADT" localSheetId="26">#REF!</definedName>
    <definedName name="PerPeakADT" localSheetId="20">Fuel.Use.Rate!#REF!</definedName>
    <definedName name="PerPeakADT" localSheetId="13">#REF!</definedName>
    <definedName name="PerPeakADT" localSheetId="10">#REF!</definedName>
    <definedName name="PerPeakADT" localSheetId="5">#REF!</definedName>
    <definedName name="PerPeakADT" localSheetId="6">#REF!</definedName>
    <definedName name="PerPeakADT" localSheetId="7">#REF!</definedName>
    <definedName name="PerPeakADT" localSheetId="8">#REF!</definedName>
    <definedName name="PerPeakADT">#REF!</definedName>
    <definedName name="PerPeakAvgHr" localSheetId="18">'[3]EmissRates(Cal-B C)'!#REF!</definedName>
    <definedName name="PerPeakAvgHr" localSheetId="26">#REF!</definedName>
    <definedName name="PerPeakAvgHr" localSheetId="20">Fuel.Use.Rate!#REF!</definedName>
    <definedName name="PerPeakAvgHr" localSheetId="13">#REF!</definedName>
    <definedName name="PerPeakAvgHr" localSheetId="10">#REF!</definedName>
    <definedName name="PerPeakAvgHr" localSheetId="5">#REF!</definedName>
    <definedName name="PerPeakAvgHr" localSheetId="6">#REF!</definedName>
    <definedName name="PerPeakAvgHr" localSheetId="7">#REF!</definedName>
    <definedName name="PerPeakAvgHr" localSheetId="8">#REF!</definedName>
    <definedName name="PerPeakAvgHr">#REF!</definedName>
    <definedName name="PerPeakTable" localSheetId="18">'[3]EmissRates(Cal-B C)'!#REF!</definedName>
    <definedName name="PerPeakTable" localSheetId="26">#REF!</definedName>
    <definedName name="PerPeakTable" localSheetId="20">Fuel.Use.Rate!#REF!</definedName>
    <definedName name="PerPeakTable" localSheetId="13">#REF!</definedName>
    <definedName name="PerPeakTable" localSheetId="10">#REF!</definedName>
    <definedName name="PerPeakTable" localSheetId="5">#REF!</definedName>
    <definedName name="PerPeakTable" localSheetId="6">#REF!</definedName>
    <definedName name="PerPeakTable" localSheetId="7">#REF!</definedName>
    <definedName name="PerPeakTable" localSheetId="8">#REF!</definedName>
    <definedName name="PerPeakTable">#REF!</definedName>
    <definedName name="PerTruckB" localSheetId="20">'[1]1) Project Information'!$H$43</definedName>
    <definedName name="PerTruckB">'[2]1) Project Information'!$H$43</definedName>
    <definedName name="PerTruckNB" localSheetId="20">'[1]1) Project Information'!$G$43</definedName>
    <definedName name="PerTruckNB">'[2]1) Project Information'!$G$43</definedName>
    <definedName name="PerWeaveB" localSheetId="20">'[1]1) Project Information'!$H$42</definedName>
    <definedName name="PerWeaveB">'[2]1) Project Information'!$H$42</definedName>
    <definedName name="PerWeaveNB" localSheetId="20">'[1]1) Project Information'!$G$42</definedName>
    <definedName name="PerWeaveNB">'[2]1) Project Information'!$G$42</definedName>
    <definedName name="PFatStAvgB" localSheetId="20">'[1]1) Project Information'!$Q$20</definedName>
    <definedName name="PFatStAvgB">'[2]1) Project Information'!$Q$20</definedName>
    <definedName name="PFatStAvgNB" localSheetId="20">'[1]1) Project Information'!$P$20</definedName>
    <definedName name="PFatStAvgNB">'[2]1) Project Information'!$P$20</definedName>
    <definedName name="PHS1B" localSheetId="20">'[1]2) Model Inputs'!$I$53</definedName>
    <definedName name="PHS1B">'[2]2) Model Inputs'!$I$53</definedName>
    <definedName name="PHS1NB" localSheetId="20">'[1]2) Model Inputs'!$I$13</definedName>
    <definedName name="PHS1NB">'[2]2) Model Inputs'!$I$13</definedName>
    <definedName name="PHS20B" localSheetId="20">'[1]2) Model Inputs'!$I$72</definedName>
    <definedName name="PHS20B">'[2]2) Model Inputs'!$I$72</definedName>
    <definedName name="PHS20NB" localSheetId="20">'[1]2) Model Inputs'!$I$32</definedName>
    <definedName name="PHS20NB">'[2]2) Model Inputs'!$I$32</definedName>
    <definedName name="PHV1B" localSheetId="20">'[1]2) Model Inputs'!$I$49</definedName>
    <definedName name="PHV1B">'[2]2) Model Inputs'!$I$49</definedName>
    <definedName name="PHV1NB" localSheetId="20">'[1]2) Model Inputs'!$I$9</definedName>
    <definedName name="PHV1NB">'[2]2) Model Inputs'!$I$9</definedName>
    <definedName name="PHV20B" localSheetId="20">'[1]2) Model Inputs'!$I$68</definedName>
    <definedName name="PHV20B">'[2]2) Model Inputs'!$I$68</definedName>
    <definedName name="PHV20NB" localSheetId="20">'[1]2) Model Inputs'!$I$28</definedName>
    <definedName name="PHV20NB">'[2]2) Model Inputs'!$I$28</definedName>
    <definedName name="PInjStAvgB" localSheetId="20">'[1]1) Project Information'!$Q$21</definedName>
    <definedName name="PInjStAvgB">'[2]1) Project Information'!$Q$21</definedName>
    <definedName name="PInjStAvgNB" localSheetId="20">'[1]1) Project Information'!$P$21</definedName>
    <definedName name="PInjStAvgNB">'[2]1) Project Information'!$P$21</definedName>
    <definedName name="PNS1B" localSheetId="20">'[1]2) Model Inputs'!$I$54</definedName>
    <definedName name="PNS1B">'[2]2) Model Inputs'!$I$54</definedName>
    <definedName name="PNS1NB" localSheetId="20">'[1]2) Model Inputs'!$I$14</definedName>
    <definedName name="PNS1NB">'[2]2) Model Inputs'!$I$14</definedName>
    <definedName name="PNS20B" localSheetId="20">'[1]2) Model Inputs'!$I$73</definedName>
    <definedName name="PNS20B">'[2]2) Model Inputs'!$I$73</definedName>
    <definedName name="PNS20NB" localSheetId="20">'[1]2) Model Inputs'!$I$33</definedName>
    <definedName name="PNS20NB">'[2]2) Model Inputs'!$I$33</definedName>
    <definedName name="PNT1Ind" localSheetId="20">'[1]2) Model Inputs'!$AG$10</definedName>
    <definedName name="PNT1Ind">'[2]2) Model Inputs'!$AG$10</definedName>
    <definedName name="PNT20Ind" localSheetId="20">'[1]2) Model Inputs'!$AG$25</definedName>
    <definedName name="PNT20Ind">'[2]2) Model Inputs'!$AG$25</definedName>
    <definedName name="PNV1B" localSheetId="20">'[1]2) Model Inputs'!$I$50</definedName>
    <definedName name="PNV1B">'[2]2) Model Inputs'!$I$50</definedName>
    <definedName name="PNV1NB" localSheetId="20">'[1]2) Model Inputs'!$I$10</definedName>
    <definedName name="PNV1NB">'[2]2) Model Inputs'!$I$10</definedName>
    <definedName name="PNV20B" localSheetId="20">'[1]2) Model Inputs'!$I$69</definedName>
    <definedName name="PNV20B">'[2]2) Model Inputs'!$I$69</definedName>
    <definedName name="PNV20NB" localSheetId="20">'[1]2) Model Inputs'!$I$29</definedName>
    <definedName name="PNV20NB">'[2]2) Model Inputs'!$I$29</definedName>
    <definedName name="_xlnm.Print_Area" localSheetId="18">'Build.vs.No-Build'!#REF!</definedName>
    <definedName name="_xlnm.Print_Area" localSheetId="22">Crash.Data!$A$1:$J$134</definedName>
    <definedName name="_xlnm.Print_Area" localSheetId="26">'Fuel Prices ($ per gal)'!#REF!</definedName>
    <definedName name="_xlnm.Print_Area" localSheetId="20">Fuel.Use.Rate!$A$1:$H$94,Fuel.Use.Rate!#REF!,Fuel.Use.Rate!#REF!</definedName>
    <definedName name="_xlnm.Print_Area" localSheetId="13">#REF!</definedName>
    <definedName name="_xlnm.Print_Area" localSheetId="4">ProjectCost!$A$3:$L$68</definedName>
    <definedName name="_xlnm.Print_Area" localSheetId="10">#REF!</definedName>
    <definedName name="_xlnm.Print_Area" localSheetId="5">#REF!</definedName>
    <definedName name="_xlnm.Print_Area" localSheetId="6">#REF!</definedName>
    <definedName name="_xlnm.Print_Area" localSheetId="16">VMT.VHT.ADT.Trip.Types!$B$4:$F$34</definedName>
    <definedName name="_xlnm.Print_Area" localSheetId="19">'VOC '!$B$1:$J$12</definedName>
    <definedName name="_xlnm.Print_Area" localSheetId="7">#REF!</definedName>
    <definedName name="_xlnm.Print_Area" localSheetId="8">#REF!</definedName>
    <definedName name="_xlnm.Print_Area">#REF!</definedName>
    <definedName name="PRINT_AREA_MI" localSheetId="18">#REF!</definedName>
    <definedName name="PRINT_AREA_MI" localSheetId="26">#REF!</definedName>
    <definedName name="PRINT_AREA_MI" localSheetId="13">#REF!</definedName>
    <definedName name="PRINT_AREA_MI" localSheetId="10">#REF!</definedName>
    <definedName name="PRINT_AREA_MI" localSheetId="5">#REF!</definedName>
    <definedName name="PRINT_AREA_MI" localSheetId="6">#REF!</definedName>
    <definedName name="PRINT_AREA_MI" localSheetId="7">#REF!</definedName>
    <definedName name="PRINT_AREA_MI" localSheetId="8">#REF!</definedName>
    <definedName name="PRINT_AREA_MI">#REF!</definedName>
    <definedName name="_xlnm.Print_Titles" localSheetId="20">Fuel.Use.Rate!$1:$7</definedName>
    <definedName name="PROGAWS" localSheetId="18">'[7]Moving Cooler unit impacts'!#REF!</definedName>
    <definedName name="PROGAWS" localSheetId="13">'[7]Moving Cooler unit impacts'!#REF!</definedName>
    <definedName name="PROGAWS" localSheetId="10">'[7]Moving Cooler unit impacts'!#REF!</definedName>
    <definedName name="PROGAWS" localSheetId="5">'[7]Moving Cooler unit impacts'!#REF!</definedName>
    <definedName name="PROGAWS" localSheetId="7">'[7]Moving Cooler unit impacts'!#REF!</definedName>
    <definedName name="PROGAWS" localSheetId="8">'[7]Moving Cooler unit impacts'!#REF!</definedName>
    <definedName name="PROGAWS">'[7]Moving Cooler unit impacts'!#REF!</definedName>
    <definedName name="ProjLoc" localSheetId="20">'[1]1) Project Information'!$H$12</definedName>
    <definedName name="ProjLoc">'[2]1) Project Information'!$H$12</definedName>
    <definedName name="ProjName" localSheetId="20">'[1]1) Project Information'!$E$4</definedName>
    <definedName name="ProjName">'[2]1) Project Information'!$E$4</definedName>
    <definedName name="ProjType" localSheetId="20">'[1]1) Project Information'!$F$10</definedName>
    <definedName name="ProjType">'[2]1) Project Information'!$F$10</definedName>
    <definedName name="ProjTypeList" localSheetId="18">'[3]EmissRates(Cal-B C)'!#REF!</definedName>
    <definedName name="ProjTypeList" localSheetId="26">#REF!</definedName>
    <definedName name="ProjTypeList" localSheetId="20">Fuel.Use.Rate!#REF!</definedName>
    <definedName name="ProjTypeList" localSheetId="13">#REF!</definedName>
    <definedName name="ProjTypeList" localSheetId="10">#REF!</definedName>
    <definedName name="ProjTypeList" localSheetId="5">#REF!</definedName>
    <definedName name="ProjTypeList" localSheetId="6">#REF!</definedName>
    <definedName name="ProjTypeList" localSheetId="7">#REF!</definedName>
    <definedName name="ProjTypeList" localSheetId="8">#REF!</definedName>
    <definedName name="ProjTypeList">#REF!</definedName>
    <definedName name="PRS1B" localSheetId="20">'[1]2) Model Inputs'!$U$67</definedName>
    <definedName name="PRS1B">'[2]2) Model Inputs'!$U$67</definedName>
    <definedName name="PRS1NB" localSheetId="20">'[1]2) Model Inputs'!$U$53</definedName>
    <definedName name="PRS1NB">'[2]2) Model Inputs'!$U$53</definedName>
    <definedName name="PRS20B" localSheetId="20">'[1]2) Model Inputs'!$U$73</definedName>
    <definedName name="PRS20B">'[2]2) Model Inputs'!$U$73</definedName>
    <definedName name="PRS20NB" localSheetId="20">'[1]2) Model Inputs'!$U$59</definedName>
    <definedName name="PRS20NB">'[2]2) Model Inputs'!$U$59</definedName>
    <definedName name="PRV1B" localSheetId="20">'[1]2) Model Inputs'!$U$65</definedName>
    <definedName name="PRV1B">'[2]2) Model Inputs'!$U$65</definedName>
    <definedName name="PRV1NB" localSheetId="20">'[1]2) Model Inputs'!$U$51</definedName>
    <definedName name="PRV1NB">'[2]2) Model Inputs'!$U$51</definedName>
    <definedName name="PRV20B" localSheetId="20">'[1]2) Model Inputs'!$U$71</definedName>
    <definedName name="PRV20B">'[2]2) Model Inputs'!$U$71</definedName>
    <definedName name="PRV20NB" localSheetId="20">'[1]2) Model Inputs'!$U$57</definedName>
    <definedName name="PRV20NB">'[2]2) Model Inputs'!$U$57</definedName>
    <definedName name="PTS1B" localSheetId="20">'[1]2) Model Inputs'!$I$56</definedName>
    <definedName name="PTS1B">'[2]2) Model Inputs'!$I$56</definedName>
    <definedName name="PTS1NB" localSheetId="20">'[1]2) Model Inputs'!$I$16</definedName>
    <definedName name="PTS1NB">'[2]2) Model Inputs'!$I$16</definedName>
    <definedName name="PTS20B" localSheetId="20">'[1]2) Model Inputs'!$I$75</definedName>
    <definedName name="PTS20B">'[2]2) Model Inputs'!$I$75</definedName>
    <definedName name="PTS20NB" localSheetId="20">'[1]2) Model Inputs'!$I$35</definedName>
    <definedName name="PTS20NB">'[2]2) Model Inputs'!$I$35</definedName>
    <definedName name="PTT1Ind" localSheetId="20">'[1]2) Model Inputs'!$AG$11</definedName>
    <definedName name="PTT1Ind">'[2]2) Model Inputs'!$AG$11</definedName>
    <definedName name="PTT20Ind" localSheetId="20">'[1]2) Model Inputs'!$AG$26</definedName>
    <definedName name="PTT20Ind">'[2]2) Model Inputs'!$AG$26</definedName>
    <definedName name="PTV1B" localSheetId="20">'[1]2) Model Inputs'!$I$52</definedName>
    <definedName name="PTV1B">'[2]2) Model Inputs'!$I$52</definedName>
    <definedName name="PTV1NB" localSheetId="20">'[1]2) Model Inputs'!$I$12</definedName>
    <definedName name="PTV1NB">'[2]2) Model Inputs'!$I$12</definedName>
    <definedName name="PTV20B" localSheetId="20">'[1]2) Model Inputs'!$I$71</definedName>
    <definedName name="PTV20B">'[2]2) Model Inputs'!$I$71</definedName>
    <definedName name="PTV20NB" localSheetId="20">'[1]2) Model Inputs'!$I$31</definedName>
    <definedName name="PTV20NB">'[2]2) Model Inputs'!$I$31</definedName>
    <definedName name="PWS1B" localSheetId="20">'[1]2) Model Inputs'!$I$55</definedName>
    <definedName name="PWS1B">'[2]2) Model Inputs'!$I$55</definedName>
    <definedName name="PWS1NB" localSheetId="20">'[1]2) Model Inputs'!$I$15</definedName>
    <definedName name="PWS1NB">'[2]2) Model Inputs'!$I$15</definedName>
    <definedName name="PWS20B" localSheetId="20">'[1]2) Model Inputs'!$I$74</definedName>
    <definedName name="PWS20B">'[2]2) Model Inputs'!$I$74</definedName>
    <definedName name="PWS20NB" localSheetId="20">'[1]2) Model Inputs'!$I$34</definedName>
    <definedName name="PWS20NB">'[2]2) Model Inputs'!$I$34</definedName>
    <definedName name="PWV1B" localSheetId="20">'[1]2) Model Inputs'!$I$51</definedName>
    <definedName name="PWV1B">'[2]2) Model Inputs'!$I$51</definedName>
    <definedName name="PWV1NB" localSheetId="20">'[1]2) Model Inputs'!$I$11</definedName>
    <definedName name="PWV1NB">'[2]2) Model Inputs'!$I$11</definedName>
    <definedName name="PWV20B" localSheetId="20">'[1]2) Model Inputs'!$I$70</definedName>
    <definedName name="PWV20B">'[2]2) Model Inputs'!$I$70</definedName>
    <definedName name="PWV20NB" localSheetId="20">'[1]2) Model Inputs'!$I$30</definedName>
    <definedName name="PWV20NB">'[2]2) Model Inputs'!$I$30</definedName>
    <definedName name="Queuing" localSheetId="18">'[3]EmissRates(Cal-B C)'!#REF!</definedName>
    <definedName name="Queuing" localSheetId="26">#REF!</definedName>
    <definedName name="Queuing" localSheetId="20">Fuel.Use.Rate!#REF!</definedName>
    <definedName name="Queuing" localSheetId="13">#REF!</definedName>
    <definedName name="Queuing" localSheetId="10">#REF!</definedName>
    <definedName name="Queuing" localSheetId="5">#REF!</definedName>
    <definedName name="Queuing" localSheetId="6">#REF!</definedName>
    <definedName name="Queuing" localSheetId="7">#REF!</definedName>
    <definedName name="Queuing" localSheetId="8">#REF!</definedName>
    <definedName name="Queuing">#REF!</definedName>
    <definedName name="RADataAvail" localSheetId="20">'[1]2) Model Inputs'!$T$40</definedName>
    <definedName name="RADataAvail">'[2]2) Model Inputs'!$T$40</definedName>
    <definedName name="RailFatCost" localSheetId="18">'[3]EmissRates(Cal-B C)'!#REF!</definedName>
    <definedName name="RailFatCost" localSheetId="26">#REF!</definedName>
    <definedName name="RailFatCost" localSheetId="20">Fuel.Use.Rate!#REF!</definedName>
    <definedName name="RailFatCost" localSheetId="13">#REF!</definedName>
    <definedName name="RailFatCost" localSheetId="10">#REF!</definedName>
    <definedName name="RailFatCost" localSheetId="5">#REF!</definedName>
    <definedName name="RailFatCost" localSheetId="6">#REF!</definedName>
    <definedName name="RailFatCost" localSheetId="7">#REF!</definedName>
    <definedName name="RailFatCost" localSheetId="8">#REF!</definedName>
    <definedName name="RailFatCost">#REF!</definedName>
    <definedName name="RailGradeFatRate" localSheetId="18">'[3]EmissRates(Cal-B C)'!#REF!</definedName>
    <definedName name="RailGradeFatRate" localSheetId="26">#REF!</definedName>
    <definedName name="RailGradeFatRate" localSheetId="20">Fuel.Use.Rate!#REF!</definedName>
    <definedName name="RailGradeFatRate" localSheetId="13">#REF!</definedName>
    <definedName name="RailGradeFatRate" localSheetId="10">#REF!</definedName>
    <definedName name="RailGradeFatRate" localSheetId="5">#REF!</definedName>
    <definedName name="RailGradeFatRate" localSheetId="6">#REF!</definedName>
    <definedName name="RailGradeFatRate" localSheetId="7">#REF!</definedName>
    <definedName name="RailGradeFatRate" localSheetId="8">#REF!</definedName>
    <definedName name="RailGradeFatRate">#REF!</definedName>
    <definedName name="RailGradeInjRate" localSheetId="18">'[3]EmissRates(Cal-B C)'!#REF!</definedName>
    <definedName name="RailGradeInjRate" localSheetId="26">#REF!</definedName>
    <definedName name="RailGradeInjRate" localSheetId="20">Fuel.Use.Rate!#REF!</definedName>
    <definedName name="RailGradeInjRate" localSheetId="13">#REF!</definedName>
    <definedName name="RailGradeInjRate" localSheetId="10">#REF!</definedName>
    <definedName name="RailGradeInjRate" localSheetId="5">#REF!</definedName>
    <definedName name="RailGradeInjRate" localSheetId="6">#REF!</definedName>
    <definedName name="RailGradeInjRate" localSheetId="7">#REF!</definedName>
    <definedName name="RailGradeInjRate" localSheetId="8">#REF!</definedName>
    <definedName name="RailGradeInjRate">#REF!</definedName>
    <definedName name="RailInjCost" localSheetId="18">'[3]EmissRates(Cal-B C)'!#REF!</definedName>
    <definedName name="RailInjCost" localSheetId="26">#REF!</definedName>
    <definedName name="RailInjCost" localSheetId="20">Fuel.Use.Rate!#REF!</definedName>
    <definedName name="RailInjCost" localSheetId="13">#REF!</definedName>
    <definedName name="RailInjCost" localSheetId="10">#REF!</definedName>
    <definedName name="RailInjCost" localSheetId="5">#REF!</definedName>
    <definedName name="RailInjCost" localSheetId="6">#REF!</definedName>
    <definedName name="RailInjCost" localSheetId="7">#REF!</definedName>
    <definedName name="RailInjCost" localSheetId="8">#REF!</definedName>
    <definedName name="RailInjCost">#REF!</definedName>
    <definedName name="RampFFSpdB" localSheetId="20">'[1]1) Project Information'!$H$31</definedName>
    <definedName name="RampFFSpdB">'[2]1) Project Information'!$H$31</definedName>
    <definedName name="RampFFSpdNB" localSheetId="20">'[1]1) Project Information'!$G$31</definedName>
    <definedName name="RampFFSpdNB">'[2]1) Project Information'!$G$31</definedName>
    <definedName name="RampVolNP" localSheetId="20">'[1]1) Project Information'!$H$47</definedName>
    <definedName name="RampVolNP">'[2]1) Project Information'!$H$47</definedName>
    <definedName name="RampVolP" localSheetId="20">'[1]1) Project Information'!$G$47</definedName>
    <definedName name="RampVolP">'[2]1) Project Information'!$G$47</definedName>
    <definedName name="ReturnOnInvest" localSheetId="20">'[1]Final Calculations'!$AM$54</definedName>
    <definedName name="ReturnOnInvest">'[2]Final Calculations'!$AM$54</definedName>
    <definedName name="RM" localSheetId="18">'[3]EmissRates(Cal-B C)'!#REF!</definedName>
    <definedName name="RM" localSheetId="26">#REF!</definedName>
    <definedName name="RM" localSheetId="20">Fuel.Use.Rate!#REF!</definedName>
    <definedName name="RM" localSheetId="13">#REF!</definedName>
    <definedName name="RM" localSheetId="10">#REF!</definedName>
    <definedName name="RM" localSheetId="5">#REF!</definedName>
    <definedName name="RM" localSheetId="6">#REF!</definedName>
    <definedName name="RM" localSheetId="7">#REF!</definedName>
    <definedName name="RM" localSheetId="8">#REF!</definedName>
    <definedName name="RM">#REF!</definedName>
    <definedName name="RoadTypeB" localSheetId="20">'[1]1) Project Information'!$H$24</definedName>
    <definedName name="RoadTypeB">'[2]1) Project Information'!$H$24</definedName>
    <definedName name="RoadTypeNB" localSheetId="20">'[1]1) Project Information'!$G$24</definedName>
    <definedName name="RoadTypeNB">'[2]1) Project Information'!$G$24</definedName>
    <definedName name="SalesTaxDieselState" localSheetId="18">'[3]EmissRates(Cal-B C)'!#REF!</definedName>
    <definedName name="SalesTaxDieselState" localSheetId="26">#REF!</definedName>
    <definedName name="SalesTaxDieselState" localSheetId="20">Fuel.Use.Rate!#REF!</definedName>
    <definedName name="SalesTaxDieselState" localSheetId="13">#REF!</definedName>
    <definedName name="SalesTaxDieselState" localSheetId="10">#REF!</definedName>
    <definedName name="SalesTaxDieselState" localSheetId="5">#REF!</definedName>
    <definedName name="SalesTaxDieselState" localSheetId="6">#REF!</definedName>
    <definedName name="SalesTaxDieselState" localSheetId="7">#REF!</definedName>
    <definedName name="SalesTaxDieselState" localSheetId="8">#REF!</definedName>
    <definedName name="SalesTaxDieselState">#REF!</definedName>
    <definedName name="SalesTaxGasState" localSheetId="18">'[3]EmissRates(Cal-B C)'!#REF!</definedName>
    <definedName name="SalesTaxGasState" localSheetId="26">#REF!</definedName>
    <definedName name="SalesTaxGasState" localSheetId="20">Fuel.Use.Rate!#REF!</definedName>
    <definedName name="SalesTaxGasState" localSheetId="13">#REF!</definedName>
    <definedName name="SalesTaxGasState" localSheetId="10">#REF!</definedName>
    <definedName name="SalesTaxGasState" localSheetId="5">#REF!</definedName>
    <definedName name="SalesTaxGasState" localSheetId="6">#REF!</definedName>
    <definedName name="SalesTaxGasState" localSheetId="7">#REF!</definedName>
    <definedName name="SalesTaxGasState" localSheetId="8">#REF!</definedName>
    <definedName name="SalesTaxGasState">#REF!</definedName>
    <definedName name="SalesTaxLocal" localSheetId="18">'[3]EmissRates(Cal-B C)'!#REF!</definedName>
    <definedName name="SalesTaxLocal" localSheetId="26">#REF!</definedName>
    <definedName name="SalesTaxLocal" localSheetId="20">Fuel.Use.Rate!#REF!</definedName>
    <definedName name="SalesTaxLocal" localSheetId="13">#REF!</definedName>
    <definedName name="SalesTaxLocal" localSheetId="10">#REF!</definedName>
    <definedName name="SalesTaxLocal" localSheetId="5">#REF!</definedName>
    <definedName name="SalesTaxLocal" localSheetId="6">#REF!</definedName>
    <definedName name="SalesTaxLocal" localSheetId="7">#REF!</definedName>
    <definedName name="SalesTaxLocal" localSheetId="8">#REF!</definedName>
    <definedName name="SalesTaxLocal">#REF!</definedName>
    <definedName name="Scenarios">[8]UserAssumptions!$C$2:$C$4</definedName>
    <definedName name="SCOPE">[4]Inputs!$I$34</definedName>
    <definedName name="SCOPETBL">[4]Defaults!$AS$223:$AT$224</definedName>
    <definedName name="SegmentA" localSheetId="20">'[1]2) Model Inputs'!$T$44</definedName>
    <definedName name="SegmentA">'[2]2) Model Inputs'!$T$44</definedName>
    <definedName name="SegmentB" localSheetId="20">'[1]1) Project Information'!$H$32</definedName>
    <definedName name="SegmentB">'[2]1) Project Information'!$H$32</definedName>
    <definedName name="SegmentNB" localSheetId="20">'[1]1) Project Information'!$G$32</definedName>
    <definedName name="SegmentNB">'[2]1) Project Information'!$G$32</definedName>
    <definedName name="SegmentR" localSheetId="20">'[1]2) Model Inputs'!$T$43</definedName>
    <definedName name="SegmentR">'[2]2) Model Inputs'!$T$43</definedName>
    <definedName name="SHIFTPER">[4]Defaults!$K$103:$K$109</definedName>
    <definedName name="SigPriority" localSheetId="18">'[3]EmissRates(Cal-B C)'!#REF!</definedName>
    <definedName name="SigPriority" localSheetId="26">#REF!</definedName>
    <definedName name="SigPriority" localSheetId="20">Fuel.Use.Rate!#REF!</definedName>
    <definedName name="SigPriority" localSheetId="13">#REF!</definedName>
    <definedName name="SigPriority" localSheetId="10">#REF!</definedName>
    <definedName name="SigPriority" localSheetId="5">#REF!</definedName>
    <definedName name="SigPriority" localSheetId="6">#REF!</definedName>
    <definedName name="SigPriority" localSheetId="7">#REF!</definedName>
    <definedName name="SigPriority" localSheetId="8">#REF!</definedName>
    <definedName name="SigPriority">#REF!</definedName>
    <definedName name="SigTTsaving" localSheetId="18">'[3]EmissRates(Cal-B C)'!#REF!</definedName>
    <definedName name="SigTTsaving" localSheetId="26">#REF!</definedName>
    <definedName name="SigTTsaving" localSheetId="20">Fuel.Use.Rate!#REF!</definedName>
    <definedName name="SigTTsaving" localSheetId="13">#REF!</definedName>
    <definedName name="SigTTsaving" localSheetId="10">#REF!</definedName>
    <definedName name="SigTTsaving" localSheetId="5">#REF!</definedName>
    <definedName name="SigTTsaving" localSheetId="6">#REF!</definedName>
    <definedName name="SigTTsaving" localSheetId="7">#REF!</definedName>
    <definedName name="SigTTsaving" localSheetId="8">#REF!</definedName>
    <definedName name="SigTTsaving">#REF!</definedName>
    <definedName name="singleStack">'[6]Tunnel Capacity'!$C$5</definedName>
    <definedName name="SpeedPavAdj" localSheetId="18">'[3]EmissRates(Cal-B C)'!#REF!</definedName>
    <definedName name="SpeedPavAdj" localSheetId="26">#REF!</definedName>
    <definedName name="SpeedPavAdj" localSheetId="20">Fuel.Use.Rate!#REF!</definedName>
    <definedName name="SpeedPavAdj" localSheetId="13">#REF!</definedName>
    <definedName name="SpeedPavAdj" localSheetId="10">#REF!</definedName>
    <definedName name="SpeedPavAdj" localSheetId="5">#REF!</definedName>
    <definedName name="SpeedPavAdj" localSheetId="6">#REF!</definedName>
    <definedName name="SpeedPavAdj" localSheetId="7">#REF!</definedName>
    <definedName name="SpeedPavAdj" localSheetId="8">#REF!</definedName>
    <definedName name="SpeedPavAdj">#REF!</definedName>
    <definedName name="SpeedWeaveAdj" localSheetId="18">'[3]EmissRates(Cal-B C)'!#REF!</definedName>
    <definedName name="SpeedWeaveAdj" localSheetId="26">#REF!</definedName>
    <definedName name="SpeedWeaveAdj" localSheetId="20">Fuel.Use.Rate!#REF!</definedName>
    <definedName name="SpeedWeaveAdj" localSheetId="13">#REF!</definedName>
    <definedName name="SpeedWeaveAdj" localSheetId="10">#REF!</definedName>
    <definedName name="SpeedWeaveAdj" localSheetId="5">#REF!</definedName>
    <definedName name="SpeedWeaveAdj" localSheetId="6">#REF!</definedName>
    <definedName name="SpeedWeaveAdj" localSheetId="7">#REF!</definedName>
    <definedName name="SpeedWeaveAdj" localSheetId="8">#REF!</definedName>
    <definedName name="SpeedWeaveAdj">#REF!</definedName>
    <definedName name="StateFatRate" localSheetId="18">'[3]EmissRates(Cal-B C)'!#REF!</definedName>
    <definedName name="StateFatRate" localSheetId="26">#REF!</definedName>
    <definedName name="StateFatRate" localSheetId="20">Fuel.Use.Rate!#REF!</definedName>
    <definedName name="StateFatRate" localSheetId="13">#REF!</definedName>
    <definedName name="StateFatRate" localSheetId="10">#REF!</definedName>
    <definedName name="StateFatRate" localSheetId="5">#REF!</definedName>
    <definedName name="StateFatRate" localSheetId="6">#REF!</definedName>
    <definedName name="StateFatRate" localSheetId="7">#REF!</definedName>
    <definedName name="StateFatRate" localSheetId="8">#REF!</definedName>
    <definedName name="StateFatRate">#REF!</definedName>
    <definedName name="StateInjRate" localSheetId="18">'[3]EmissRates(Cal-B C)'!#REF!</definedName>
    <definedName name="StateInjRate" localSheetId="26">#REF!</definedName>
    <definedName name="StateInjRate" localSheetId="20">Fuel.Use.Rate!#REF!</definedName>
    <definedName name="StateInjRate" localSheetId="13">#REF!</definedName>
    <definedName name="StateInjRate" localSheetId="10">#REF!</definedName>
    <definedName name="StateInjRate" localSheetId="5">#REF!</definedName>
    <definedName name="StateInjRate" localSheetId="6">#REF!</definedName>
    <definedName name="StateInjRate" localSheetId="7">#REF!</definedName>
    <definedName name="StateInjRate" localSheetId="8">#REF!</definedName>
    <definedName name="StateInjRate">#REF!</definedName>
    <definedName name="StatePDORate" localSheetId="18">'[3]EmissRates(Cal-B C)'!#REF!</definedName>
    <definedName name="StatePDORate" localSheetId="26">#REF!</definedName>
    <definedName name="StatePDORate" localSheetId="20">Fuel.Use.Rate!#REF!</definedName>
    <definedName name="StatePDORate" localSheetId="13">#REF!</definedName>
    <definedName name="StatePDORate" localSheetId="10">#REF!</definedName>
    <definedName name="StatePDORate" localSheetId="5">#REF!</definedName>
    <definedName name="StatePDORate" localSheetId="6">#REF!</definedName>
    <definedName name="StatePDORate" localSheetId="7">#REF!</definedName>
    <definedName name="StatePDORate" localSheetId="8">#REF!</definedName>
    <definedName name="StatePDORate">#REF!</definedName>
    <definedName name="TAccReductPer" localSheetId="20">'[1]1) Project Information'!$P$39</definedName>
    <definedName name="TAccReductPer">'[2]1) Project Information'!$P$39</definedName>
    <definedName name="TAPT1B" localSheetId="20">'[1]1) Project Information'!$Q$28</definedName>
    <definedName name="TAPT1B">'[2]1) Project Information'!$Q$28</definedName>
    <definedName name="TAPT1NB" localSheetId="20">'[1]1) Project Information'!$P$28</definedName>
    <definedName name="TAPT1NB">'[2]1) Project Information'!$P$28</definedName>
    <definedName name="TAPT20B" localSheetId="20">'[1]1) Project Information'!$Q$29</definedName>
    <definedName name="TAPT20B">'[2]1) Project Information'!$Q$29</definedName>
    <definedName name="TAPT20NB" localSheetId="20">'[1]1) Project Information'!$P$29</definedName>
    <definedName name="TAPT20NB">'[2]1) Project Information'!$P$29</definedName>
    <definedName name="TCapCostB" localSheetId="20">'[1]1) Project Information'!$Q$52</definedName>
    <definedName name="TCapCostB">'[2]1) Project Information'!$Q$52</definedName>
    <definedName name="TCapCostNB" localSheetId="20">'[1]1) Project Information'!$P$52</definedName>
    <definedName name="TCapCostNB">'[2]1) Project Information'!$P$52</definedName>
    <definedName name="TI" localSheetId="18">'[3]EmissRates(Cal-B C)'!#REF!</definedName>
    <definedName name="TI" localSheetId="26">#REF!</definedName>
    <definedName name="TI" localSheetId="20">Fuel.Use.Rate!#REF!</definedName>
    <definedName name="TI" localSheetId="13">#REF!</definedName>
    <definedName name="TI" localSheetId="10">#REF!</definedName>
    <definedName name="TI" localSheetId="5">#REF!</definedName>
    <definedName name="TI" localSheetId="6">#REF!</definedName>
    <definedName name="TI" localSheetId="7">#REF!</definedName>
    <definedName name="TI" localSheetId="8">#REF!</definedName>
    <definedName name="TI">#REF!</definedName>
    <definedName name="TInTimeBN" localSheetId="20">'[1]1) Project Information'!$Q$42</definedName>
    <definedName name="TInTimeBN">'[2]1) Project Information'!$Q$42</definedName>
    <definedName name="TInTimeBP" localSheetId="20">'[1]1) Project Information'!$Q$43</definedName>
    <definedName name="TInTimeBP">'[2]1) Project Information'!$Q$43</definedName>
    <definedName name="TInTimeNBN" localSheetId="20">'[1]1) Project Information'!$P$42</definedName>
    <definedName name="TInTimeNBN">'[2]1) Project Information'!$P$42</definedName>
    <definedName name="TInTimeNBP" localSheetId="20">'[1]1) Project Information'!$P$43</definedName>
    <definedName name="TInTimeNBP">'[2]1) Project Information'!$P$43</definedName>
    <definedName name="TMSAdj" localSheetId="18">'[3]EmissRates(Cal-B C)'!#REF!</definedName>
    <definedName name="TMSAdj" localSheetId="26">#REF!</definedName>
    <definedName name="TMSAdj" localSheetId="20">Fuel.Use.Rate!#REF!</definedName>
    <definedName name="TMSAdj" localSheetId="13">#REF!</definedName>
    <definedName name="TMSAdj" localSheetId="10">#REF!</definedName>
    <definedName name="TMSAdj" localSheetId="5">#REF!</definedName>
    <definedName name="TMSAdj" localSheetId="6">#REF!</definedName>
    <definedName name="TMSAdj" localSheetId="7">#REF!</definedName>
    <definedName name="TMSAdj" localSheetId="8">#REF!</definedName>
    <definedName name="TMSAdj">#REF!</definedName>
    <definedName name="TMSLookup" localSheetId="18">'[3]EmissRates(Cal-B C)'!#REF!</definedName>
    <definedName name="TMSLookup" localSheetId="26">#REF!</definedName>
    <definedName name="TMSLookup" localSheetId="20">Fuel.Use.Rate!#REF!</definedName>
    <definedName name="TMSLookup" localSheetId="13">#REF!</definedName>
    <definedName name="TMSLookup" localSheetId="10">#REF!</definedName>
    <definedName name="TMSLookup" localSheetId="5">#REF!</definedName>
    <definedName name="TMSLookup" localSheetId="6">#REF!</definedName>
    <definedName name="TMSLookup" localSheetId="7">#REF!</definedName>
    <definedName name="TMSLookup" localSheetId="8">#REF!</definedName>
    <definedName name="TMSLookup">#REF!</definedName>
    <definedName name="TOMCostB" localSheetId="20">'[1]1) Project Information'!$Q$53</definedName>
    <definedName name="TOMCostB">'[2]1) Project Information'!$Q$53</definedName>
    <definedName name="TOMCostNB" localSheetId="20">'[1]1) Project Information'!$P$53</definedName>
    <definedName name="TOMCostNB">'[2]1) Project Information'!$P$53</definedName>
    <definedName name="TOutTimeBN" localSheetId="20">'[1]1) Project Information'!$Q$44</definedName>
    <definedName name="TOutTimeBN">'[2]1) Project Information'!$Q$44</definedName>
    <definedName name="TOutTimeBP" localSheetId="20">'[1]1) Project Information'!$Q$45</definedName>
    <definedName name="TOutTimeBP">'[2]1) Project Information'!$Q$45</definedName>
    <definedName name="TOutTimeNBN" localSheetId="20">'[1]1) Project Information'!$P$44</definedName>
    <definedName name="TOutTimeNBN">'[2]1) Project Information'!$P$44</definedName>
    <definedName name="TOutTimeNBP" localSheetId="20">'[1]1) Project Information'!$P$45</definedName>
    <definedName name="TOutTimeNBP">'[2]1) Project Information'!$P$45</definedName>
    <definedName name="TPerHwy" localSheetId="20">'[1]1) Project Information'!$Q$31</definedName>
    <definedName name="TPerHwy">'[2]1) Project Information'!$Q$31</definedName>
    <definedName name="TPerPeak" localSheetId="20">'[1]1) Project Information'!$P$30</definedName>
    <definedName name="TPerPeak">'[2]1) Project Information'!$P$30</definedName>
    <definedName name="TRIP1">[4]TravCalcs!$N$49</definedName>
    <definedName name="TRIP1O">[4]TravCalcs!$N$56</definedName>
    <definedName name="TRIP1P">[4]TravCalcs!$N$55</definedName>
    <definedName name="TRIP2">[4]TravCalcs!$O$49</definedName>
    <definedName name="TRIP2O">[4]TravCalcs!$O$56</definedName>
    <definedName name="TRIP2P">[4]TravCalcs!$O$55</definedName>
    <definedName name="TruckSpeed" localSheetId="20">'[1]1) Project Information'!$G$44</definedName>
    <definedName name="TruckSpeed">'[2]1) Project Information'!$G$44</definedName>
    <definedName name="TTUprater" localSheetId="18">'[3]EmissRates(Cal-B C)'!#REF!</definedName>
    <definedName name="TTUprater" localSheetId="26">#REF!</definedName>
    <definedName name="TTUprater" localSheetId="20">Fuel.Use.Rate!#REF!</definedName>
    <definedName name="TTUprater" localSheetId="13">#REF!</definedName>
    <definedName name="TTUprater" localSheetId="10">#REF!</definedName>
    <definedName name="TTUprater" localSheetId="5">#REF!</definedName>
    <definedName name="TTUprater" localSheetId="6">#REF!</definedName>
    <definedName name="TTUprater" localSheetId="7">#REF!</definedName>
    <definedName name="TTUprater" localSheetId="8">#REF!</definedName>
    <definedName name="TTUprater">#REF!</definedName>
    <definedName name="TVehMi1B" localSheetId="20">'[1]1) Project Information'!$Q$34</definedName>
    <definedName name="TVehMi1B">'[2]1) Project Information'!$Q$34</definedName>
    <definedName name="TVehMi1NB" localSheetId="20">'[1]1) Project Information'!$P$34</definedName>
    <definedName name="TVehMi1NB">'[2]1) Project Information'!$P$34</definedName>
    <definedName name="TVehMi20B" localSheetId="20">'[1]1) Project Information'!$Q$35</definedName>
    <definedName name="TVehMi20B">'[2]1) Project Information'!$Q$35</definedName>
    <definedName name="TVehMi20NB" localSheetId="20">'[1]1) Project Information'!$P$35</definedName>
    <definedName name="TVehMi20NB">'[2]1) Project Information'!$P$35</definedName>
    <definedName name="TVehPerTrainB" localSheetId="20">'[1]1) Project Information'!$Q$36</definedName>
    <definedName name="TVehPerTrainB">'[2]1) Project Information'!$Q$36</definedName>
    <definedName name="TVehPerTrainNB" localSheetId="20">'[1]1) Project Information'!$P$36</definedName>
    <definedName name="TVehPerTrainNB">'[2]1) Project Information'!$P$36</definedName>
    <definedName name="UEFFILE">[4]Inputs!$I$21</definedName>
    <definedName name="UserAdjInputs" localSheetId="18">'[3]EmissRates(Cal-B C)'!#REF!</definedName>
    <definedName name="UserAdjInputs" localSheetId="26">#REF!</definedName>
    <definedName name="UserAdjInputs" localSheetId="20">Fuel.Use.Rate!#REF!</definedName>
    <definedName name="UserAdjInputs" localSheetId="13">#REF!</definedName>
    <definedName name="UserAdjInputs" localSheetId="10">#REF!</definedName>
    <definedName name="UserAdjInputs" localSheetId="5">#REF!</definedName>
    <definedName name="UserAdjInputs" localSheetId="6">#REF!</definedName>
    <definedName name="UserAdjInputs" localSheetId="7">#REF!</definedName>
    <definedName name="UserAdjInputs" localSheetId="8">#REF!</definedName>
    <definedName name="UserAdjInputs">#REF!</definedName>
    <definedName name="ValTimeAuto" localSheetId="18">'[3]EmissRates(Cal-B C)'!#REF!</definedName>
    <definedName name="ValTimeAuto" localSheetId="26">#REF!</definedName>
    <definedName name="ValTimeAuto" localSheetId="20">Fuel.Use.Rate!#REF!</definedName>
    <definedName name="ValTimeAuto" localSheetId="13">#REF!</definedName>
    <definedName name="ValTimeAuto" localSheetId="10">#REF!</definedName>
    <definedName name="ValTimeAuto" localSheetId="5">#REF!</definedName>
    <definedName name="ValTimeAuto" localSheetId="6">#REF!</definedName>
    <definedName name="ValTimeAuto" localSheetId="7">#REF!</definedName>
    <definedName name="ValTimeAuto" localSheetId="8">#REF!</definedName>
    <definedName name="ValTimeAuto">#REF!</definedName>
    <definedName name="ValTimeIMFactor" localSheetId="18">'[3]EmissRates(Cal-B C)'!#REF!</definedName>
    <definedName name="ValTimeIMFactor" localSheetId="26">#REF!</definedName>
    <definedName name="ValTimeIMFactor" localSheetId="20">Fuel.Use.Rate!#REF!</definedName>
    <definedName name="ValTimeIMFactor" localSheetId="13">#REF!</definedName>
    <definedName name="ValTimeIMFactor" localSheetId="10">#REF!</definedName>
    <definedName name="ValTimeIMFactor" localSheetId="5">#REF!</definedName>
    <definedName name="ValTimeIMFactor" localSheetId="6">#REF!</definedName>
    <definedName name="ValTimeIMFactor" localSheetId="7">#REF!</definedName>
    <definedName name="ValTimeIMFactor" localSheetId="8">#REF!</definedName>
    <definedName name="ValTimeIMFactor">#REF!</definedName>
    <definedName name="ValTimeOVFactor" localSheetId="18">'[3]EmissRates(Cal-B C)'!#REF!</definedName>
    <definedName name="ValTimeOVFactor" localSheetId="26">#REF!</definedName>
    <definedName name="ValTimeOVFactor" localSheetId="20">Fuel.Use.Rate!#REF!</definedName>
    <definedName name="ValTimeOVFactor" localSheetId="13">#REF!</definedName>
    <definedName name="ValTimeOVFactor" localSheetId="10">#REF!</definedName>
    <definedName name="ValTimeOVFactor" localSheetId="5">#REF!</definedName>
    <definedName name="ValTimeOVFactor" localSheetId="6">#REF!</definedName>
    <definedName name="ValTimeOVFactor" localSheetId="7">#REF!</definedName>
    <definedName name="ValTimeOVFactor" localSheetId="8">#REF!</definedName>
    <definedName name="ValTimeOVFactor">#REF!</definedName>
    <definedName name="ValTimeTransit" localSheetId="18">'[3]EmissRates(Cal-B C)'!#REF!</definedName>
    <definedName name="ValTimeTransit" localSheetId="26">#REF!</definedName>
    <definedName name="ValTimeTransit" localSheetId="20">Fuel.Use.Rate!#REF!</definedName>
    <definedName name="ValTimeTransit" localSheetId="13">#REF!</definedName>
    <definedName name="ValTimeTransit" localSheetId="10">#REF!</definedName>
    <definedName name="ValTimeTransit" localSheetId="5">#REF!</definedName>
    <definedName name="ValTimeTransit" localSheetId="6">#REF!</definedName>
    <definedName name="ValTimeTransit" localSheetId="7">#REF!</definedName>
    <definedName name="ValTimeTransit" localSheetId="8">#REF!</definedName>
    <definedName name="ValTimeTransit">#REF!</definedName>
    <definedName name="ValTimeTruck" localSheetId="18">'[3]EmissRates(Cal-B C)'!#REF!</definedName>
    <definedName name="ValTimeTruck" localSheetId="26">#REF!</definedName>
    <definedName name="ValTimeTruck" localSheetId="20">Fuel.Use.Rate!#REF!</definedName>
    <definedName name="ValTimeTruck" localSheetId="13">#REF!</definedName>
    <definedName name="ValTimeTruck" localSheetId="10">#REF!</definedName>
    <definedName name="ValTimeTruck" localSheetId="5">#REF!</definedName>
    <definedName name="ValTimeTruck" localSheetId="6">#REF!</definedName>
    <definedName name="ValTimeTruck" localSheetId="7">#REF!</definedName>
    <definedName name="ValTimeTruck" localSheetId="8">#REF!</definedName>
    <definedName name="ValTimeTruck">#REF!</definedName>
    <definedName name="ValueUpdate" localSheetId="18">'[3]EmissRates(Cal-B C)'!#REF!</definedName>
    <definedName name="ValueUpdate" localSheetId="26">#REF!</definedName>
    <definedName name="ValueUpdate" localSheetId="20">Fuel.Use.Rate!#REF!</definedName>
    <definedName name="ValueUpdate" localSheetId="13">#REF!</definedName>
    <definedName name="ValueUpdate" localSheetId="10">#REF!</definedName>
    <definedName name="ValueUpdate" localSheetId="5">#REF!</definedName>
    <definedName name="ValueUpdate" localSheetId="6">#REF!</definedName>
    <definedName name="ValueUpdate" localSheetId="7">#REF!</definedName>
    <definedName name="ValueUpdate" localSheetId="8">#REF!</definedName>
    <definedName name="ValueUpdate">#REF!</definedName>
    <definedName name="VehOp" localSheetId="20">'[1]3) Results'!$M$32</definedName>
    <definedName name="VehOp">'[2]3) Results'!$M$32</definedName>
    <definedName name="WageStatewide" localSheetId="18">'[3]EmissRates(Cal-B C)'!#REF!</definedName>
    <definedName name="WageStatewide" localSheetId="26">#REF!</definedName>
    <definedName name="WageStatewide" localSheetId="20">Fuel.Use.Rate!#REF!</definedName>
    <definedName name="WageStatewide" localSheetId="13">#REF!</definedName>
    <definedName name="WageStatewide" localSheetId="10">#REF!</definedName>
    <definedName name="WageStatewide" localSheetId="5">#REF!</definedName>
    <definedName name="WageStatewide" localSheetId="6">#REF!</definedName>
    <definedName name="WageStatewide" localSheetId="7">#REF!</definedName>
    <definedName name="WageStatewide" localSheetId="8">#REF!</definedName>
    <definedName name="WageStatewide">#REF!</definedName>
    <definedName name="WageTruck" localSheetId="18">'[3]EmissRates(Cal-B C)'!#REF!</definedName>
    <definedName name="WageTruck" localSheetId="26">#REF!</definedName>
    <definedName name="WageTruck" localSheetId="20">Fuel.Use.Rate!#REF!</definedName>
    <definedName name="WageTruck" localSheetId="13">#REF!</definedName>
    <definedName name="WageTruck" localSheetId="10">#REF!</definedName>
    <definedName name="WageTruck" localSheetId="5">#REF!</definedName>
    <definedName name="WageTruck" localSheetId="6">#REF!</definedName>
    <definedName name="WageTruck" localSheetId="7">#REF!</definedName>
    <definedName name="WageTruck" localSheetId="8">#REF!</definedName>
    <definedName name="WageTruck">#REF!</definedName>
  </definedNames>
  <calcPr calcId="145621" iterateDelta="9.9999999999994451E-4"/>
</workbook>
</file>

<file path=xl/calcChain.xml><?xml version="1.0" encoding="utf-8"?>
<calcChain xmlns="http://schemas.openxmlformats.org/spreadsheetml/2006/main">
  <c r="G76" i="83" l="1"/>
  <c r="F76" i="83"/>
  <c r="F74" i="83"/>
  <c r="G74" i="83"/>
  <c r="F75" i="83"/>
  <c r="G75" i="83"/>
  <c r="G73" i="83"/>
  <c r="F73" i="83"/>
  <c r="H249" i="52" l="1"/>
  <c r="H250" i="52"/>
  <c r="H251" i="52"/>
  <c r="H252" i="52"/>
  <c r="H253" i="52"/>
  <c r="K253" i="52"/>
  <c r="H254" i="52"/>
  <c r="K254" i="52"/>
  <c r="H255" i="52"/>
  <c r="G255" i="52"/>
  <c r="G251" i="52"/>
  <c r="G250" i="52"/>
  <c r="G249" i="52"/>
  <c r="G254" i="52"/>
  <c r="G253" i="52"/>
  <c r="G252" i="52"/>
  <c r="E13" i="84"/>
  <c r="E31" i="84" s="1"/>
  <c r="F17" i="84"/>
  <c r="G17" i="84"/>
  <c r="H17" i="84"/>
  <c r="I17" i="84"/>
  <c r="J17" i="84"/>
  <c r="K17" i="84"/>
  <c r="L17" i="84"/>
  <c r="M17" i="84"/>
  <c r="N17" i="84"/>
  <c r="O17" i="84"/>
  <c r="P17" i="84"/>
  <c r="Q17" i="84"/>
  <c r="R17" i="84"/>
  <c r="S17" i="84"/>
  <c r="T17" i="84"/>
  <c r="U17" i="84"/>
  <c r="V17" i="84"/>
  <c r="W17" i="84"/>
  <c r="X17" i="84"/>
  <c r="Y17" i="84"/>
  <c r="E17" i="84"/>
  <c r="C19" i="84"/>
  <c r="F15" i="84"/>
  <c r="G15" i="84" s="1"/>
  <c r="H15" i="84" s="1"/>
  <c r="I15" i="84" s="1"/>
  <c r="J15" i="84" s="1"/>
  <c r="K15" i="84" s="1"/>
  <c r="L15" i="84" s="1"/>
  <c r="M15" i="84" s="1"/>
  <c r="N15" i="84" s="1"/>
  <c r="O15" i="84" s="1"/>
  <c r="P15" i="84" s="1"/>
  <c r="Q15" i="84" s="1"/>
  <c r="R15" i="84" s="1"/>
  <c r="S15" i="84" s="1"/>
  <c r="T15" i="84" s="1"/>
  <c r="U15" i="84" s="1"/>
  <c r="V15" i="84" s="1"/>
  <c r="W15" i="84" s="1"/>
  <c r="X15" i="84" s="1"/>
  <c r="Y15" i="84" s="1"/>
  <c r="F12" i="77"/>
  <c r="G12" i="77"/>
  <c r="H12" i="77"/>
  <c r="I12" i="77"/>
  <c r="J12" i="77"/>
  <c r="K12" i="77"/>
  <c r="L12" i="77"/>
  <c r="M12" i="77"/>
  <c r="N12" i="77"/>
  <c r="O12" i="77"/>
  <c r="P12" i="77"/>
  <c r="Q12" i="77"/>
  <c r="R12" i="77"/>
  <c r="S12" i="77"/>
  <c r="T12" i="77"/>
  <c r="U12" i="77"/>
  <c r="V12" i="77"/>
  <c r="W12" i="77"/>
  <c r="X12" i="77"/>
  <c r="Y12" i="77"/>
  <c r="E12" i="77"/>
  <c r="C14" i="77"/>
  <c r="E13" i="77" s="1"/>
  <c r="F13" i="77" s="1"/>
  <c r="G13" i="77" s="1"/>
  <c r="H13" i="77" s="1"/>
  <c r="I13" i="77" s="1"/>
  <c r="J13" i="77" s="1"/>
  <c r="K13" i="77" s="1"/>
  <c r="L13" i="77" s="1"/>
  <c r="M13" i="77" s="1"/>
  <c r="N13" i="77" s="1"/>
  <c r="O13" i="77" s="1"/>
  <c r="P13" i="77" s="1"/>
  <c r="Q13" i="77" s="1"/>
  <c r="R13" i="77" s="1"/>
  <c r="S13" i="77" s="1"/>
  <c r="T13" i="77" s="1"/>
  <c r="U13" i="77" s="1"/>
  <c r="V13" i="77" s="1"/>
  <c r="W13" i="77" s="1"/>
  <c r="X13" i="77" s="1"/>
  <c r="Y13" i="77" s="1"/>
  <c r="F11" i="77"/>
  <c r="G11" i="77" s="1"/>
  <c r="H11" i="77" s="1"/>
  <c r="I11" i="77" s="1"/>
  <c r="J11" i="77" s="1"/>
  <c r="K11" i="77" s="1"/>
  <c r="L11" i="77" s="1"/>
  <c r="M11" i="77" s="1"/>
  <c r="N11" i="77" s="1"/>
  <c r="O11" i="77" s="1"/>
  <c r="P11" i="77" s="1"/>
  <c r="Q11" i="77" s="1"/>
  <c r="R11" i="77" s="1"/>
  <c r="S11" i="77" s="1"/>
  <c r="T11" i="77" s="1"/>
  <c r="U11" i="77" s="1"/>
  <c r="V11" i="77" s="1"/>
  <c r="W11" i="77" s="1"/>
  <c r="X11" i="77" s="1"/>
  <c r="Y11" i="77" s="1"/>
  <c r="D6" i="54"/>
  <c r="D7" i="54"/>
  <c r="D8" i="54"/>
  <c r="D9" i="54"/>
  <c r="C8" i="54"/>
  <c r="J9" i="54"/>
  <c r="J8" i="54"/>
  <c r="J7" i="54"/>
  <c r="J6" i="54"/>
  <c r="I9" i="54"/>
  <c r="C9" i="54" s="1"/>
  <c r="I8" i="54"/>
  <c r="F64" i="68"/>
  <c r="F65" i="68"/>
  <c r="F70" i="68"/>
  <c r="F71" i="68"/>
  <c r="F72" i="68"/>
  <c r="F73" i="68"/>
  <c r="F74" i="68"/>
  <c r="F75" i="68"/>
  <c r="F76" i="68"/>
  <c r="F77" i="68"/>
  <c r="F78" i="68"/>
  <c r="F79" i="68"/>
  <c r="F80" i="68"/>
  <c r="F81" i="68"/>
  <c r="F82" i="68"/>
  <c r="F83" i="68"/>
  <c r="F84" i="68"/>
  <c r="F85" i="68"/>
  <c r="F86" i="68"/>
  <c r="F87" i="68"/>
  <c r="F88" i="68"/>
  <c r="F89" i="68"/>
  <c r="F90" i="68"/>
  <c r="F63" i="68"/>
  <c r="F103" i="68"/>
  <c r="F102" i="68"/>
  <c r="E24" i="84" l="1"/>
  <c r="F13" i="84" s="1"/>
  <c r="E18" i="84"/>
  <c r="F18" i="84" s="1"/>
  <c r="G18" i="84" s="1"/>
  <c r="H18" i="84" s="1"/>
  <c r="I18" i="84" s="1"/>
  <c r="J18" i="84" s="1"/>
  <c r="K18" i="84" s="1"/>
  <c r="L18" i="84" s="1"/>
  <c r="M18" i="84" s="1"/>
  <c r="N18" i="84" s="1"/>
  <c r="O18" i="84" s="1"/>
  <c r="P18" i="84" s="1"/>
  <c r="Q18" i="84" s="1"/>
  <c r="R18" i="84" s="1"/>
  <c r="S18" i="84" s="1"/>
  <c r="T18" i="84" s="1"/>
  <c r="U18" i="84" s="1"/>
  <c r="V18" i="84" s="1"/>
  <c r="W18" i="84" s="1"/>
  <c r="X18" i="84" s="1"/>
  <c r="Y18" i="84" s="1"/>
  <c r="E39" i="2"/>
  <c r="F10" i="84" l="1"/>
  <c r="G10" i="84" s="1"/>
  <c r="H10" i="84" s="1"/>
  <c r="I10" i="84" s="1"/>
  <c r="J10" i="84" s="1"/>
  <c r="K10" i="84" s="1"/>
  <c r="L10" i="84" s="1"/>
  <c r="M10" i="84" s="1"/>
  <c r="N10" i="84" s="1"/>
  <c r="O10" i="84" s="1"/>
  <c r="P10" i="84" s="1"/>
  <c r="Q10" i="84" s="1"/>
  <c r="R10" i="84" s="1"/>
  <c r="S10" i="84" s="1"/>
  <c r="T10" i="84" s="1"/>
  <c r="U10" i="84" s="1"/>
  <c r="V10" i="84" s="1"/>
  <c r="W10" i="84" s="1"/>
  <c r="X10" i="84" s="1"/>
  <c r="Y10" i="84" s="1"/>
  <c r="F33" i="75" l="1"/>
  <c r="E33" i="75"/>
  <c r="D33" i="75"/>
  <c r="E103" i="68"/>
  <c r="B107" i="68"/>
  <c r="B106" i="68"/>
  <c r="B105" i="68"/>
  <c r="E100" i="68"/>
  <c r="E105" i="68" s="1"/>
  <c r="E107" i="68" s="1"/>
  <c r="E106" i="68" l="1"/>
  <c r="C8" i="84" l="1"/>
  <c r="D35" i="36"/>
  <c r="F22" i="77" l="1"/>
  <c r="F21" i="77"/>
  <c r="G21" i="77"/>
  <c r="G22" i="77" s="1"/>
  <c r="H21" i="77"/>
  <c r="H22" i="77" s="1"/>
  <c r="I21" i="77"/>
  <c r="I22" i="77" s="1"/>
  <c r="J21" i="77"/>
  <c r="J22" i="77" s="1"/>
  <c r="K21" i="77"/>
  <c r="K22" i="77" s="1"/>
  <c r="L21" i="77"/>
  <c r="L22" i="77" s="1"/>
  <c r="M21" i="77"/>
  <c r="M22" i="77" s="1"/>
  <c r="N21" i="77"/>
  <c r="N22" i="77" s="1"/>
  <c r="O21" i="77"/>
  <c r="O22" i="77" s="1"/>
  <c r="P21" i="77"/>
  <c r="P22" i="77" s="1"/>
  <c r="Q21" i="77"/>
  <c r="Q22" i="77" s="1"/>
  <c r="R21" i="77"/>
  <c r="R22" i="77" s="1"/>
  <c r="S21" i="77"/>
  <c r="S22" i="77" s="1"/>
  <c r="T21" i="77"/>
  <c r="T22" i="77" s="1"/>
  <c r="U21" i="77"/>
  <c r="U22" i="77" s="1"/>
  <c r="V21" i="77"/>
  <c r="V22" i="77" s="1"/>
  <c r="W21" i="77"/>
  <c r="W22" i="77" s="1"/>
  <c r="X21" i="77"/>
  <c r="X22" i="77" s="1"/>
  <c r="Y21" i="77"/>
  <c r="Y22" i="77" s="1"/>
  <c r="E21" i="77"/>
  <c r="E22" i="77" s="1"/>
  <c r="B62" i="78"/>
  <c r="B64" i="78" s="1"/>
  <c r="J20" i="78" s="1"/>
  <c r="B60" i="78"/>
  <c r="G62" i="78"/>
  <c r="G64" i="78" l="1"/>
  <c r="P8" i="81"/>
  <c r="P9" i="81"/>
  <c r="P10" i="81"/>
  <c r="P7" i="81"/>
  <c r="O11" i="81" s="1"/>
  <c r="O27" i="81" s="1"/>
  <c r="I7" i="54" s="1"/>
  <c r="C7" i="54" s="1"/>
  <c r="O26" i="81" l="1"/>
  <c r="I6" i="54" s="1"/>
  <c r="C6" i="54" s="1"/>
  <c r="R67" i="52"/>
  <c r="R68" i="52" s="1"/>
  <c r="R69" i="52" s="1"/>
  <c r="R70" i="52" s="1"/>
  <c r="R71" i="52" s="1"/>
  <c r="R72" i="52" s="1"/>
  <c r="R73" i="52" s="1"/>
  <c r="R74" i="52" s="1"/>
  <c r="R75" i="52" s="1"/>
  <c r="R76" i="52" s="1"/>
  <c r="R77" i="52" s="1"/>
  <c r="R78" i="52" s="1"/>
  <c r="R79" i="52" s="1"/>
  <c r="R80" i="52" s="1"/>
  <c r="R81" i="52" s="1"/>
  <c r="R82" i="52" s="1"/>
  <c r="R83" i="52" s="1"/>
  <c r="R84" i="52" s="1"/>
  <c r="R85" i="52" s="1"/>
  <c r="R86" i="52" s="1"/>
  <c r="Q67" i="52"/>
  <c r="Q68" i="52" s="1"/>
  <c r="W64" i="52"/>
  <c r="V64" i="52"/>
  <c r="J67" i="52"/>
  <c r="J68" i="52" s="1"/>
  <c r="J69" i="52" s="1"/>
  <c r="J70" i="52" s="1"/>
  <c r="J71" i="52" s="1"/>
  <c r="J72" i="52" s="1"/>
  <c r="J73" i="52" s="1"/>
  <c r="J74" i="52" s="1"/>
  <c r="J75" i="52" s="1"/>
  <c r="J76" i="52" s="1"/>
  <c r="J77" i="52" s="1"/>
  <c r="J78" i="52" s="1"/>
  <c r="J79" i="52" s="1"/>
  <c r="J80" i="52" s="1"/>
  <c r="J81" i="52" s="1"/>
  <c r="J82" i="52" s="1"/>
  <c r="J83" i="52" s="1"/>
  <c r="J84" i="52" s="1"/>
  <c r="J85" i="52" s="1"/>
  <c r="J86" i="52" s="1"/>
  <c r="I67" i="52"/>
  <c r="I68" i="52" s="1"/>
  <c r="O64" i="52"/>
  <c r="N64" i="52"/>
  <c r="Q69" i="52" l="1"/>
  <c r="I69" i="52"/>
  <c r="P91" i="68"/>
  <c r="Q70" i="52" l="1"/>
  <c r="I70" i="52"/>
  <c r="Q71" i="52" l="1"/>
  <c r="I71" i="52"/>
  <c r="R93" i="52"/>
  <c r="Q93" i="52"/>
  <c r="O93" i="52"/>
  <c r="N93" i="52"/>
  <c r="L116" i="52"/>
  <c r="L93" i="52"/>
  <c r="K93" i="52"/>
  <c r="I96" i="52"/>
  <c r="I97" i="52" s="1"/>
  <c r="I98" i="52" s="1"/>
  <c r="I99" i="52" s="1"/>
  <c r="I100" i="52" s="1"/>
  <c r="I101" i="52" s="1"/>
  <c r="I102" i="52" s="1"/>
  <c r="I103" i="52" s="1"/>
  <c r="I104" i="52" s="1"/>
  <c r="I105" i="52" s="1"/>
  <c r="I106" i="52" s="1"/>
  <c r="I107" i="52" s="1"/>
  <c r="I108" i="52" s="1"/>
  <c r="I109" i="52" s="1"/>
  <c r="I110" i="52" s="1"/>
  <c r="I111" i="52" s="1"/>
  <c r="I112" i="52" s="1"/>
  <c r="I113" i="52" s="1"/>
  <c r="I114" i="52" s="1"/>
  <c r="I115" i="52" s="1"/>
  <c r="H96" i="52"/>
  <c r="H97" i="52" s="1"/>
  <c r="H98" i="52" s="1"/>
  <c r="H99" i="52" s="1"/>
  <c r="H100" i="52" s="1"/>
  <c r="H101" i="52" s="1"/>
  <c r="H102" i="52" s="1"/>
  <c r="H103" i="52" s="1"/>
  <c r="H104" i="52" s="1"/>
  <c r="H105" i="52" s="1"/>
  <c r="H106" i="52" s="1"/>
  <c r="H107" i="52" s="1"/>
  <c r="H108" i="52" s="1"/>
  <c r="H109" i="52" s="1"/>
  <c r="H110" i="52" s="1"/>
  <c r="H111" i="52" s="1"/>
  <c r="H112" i="52" s="1"/>
  <c r="H113" i="52" s="1"/>
  <c r="H114" i="52" s="1"/>
  <c r="H115" i="52" s="1"/>
  <c r="Q72" i="52" l="1"/>
  <c r="I72" i="52"/>
  <c r="J46" i="68"/>
  <c r="Q90" i="68" s="1"/>
  <c r="X20" i="68"/>
  <c r="J20" i="68" s="1"/>
  <c r="Q64" i="68" s="1"/>
  <c r="X21" i="68"/>
  <c r="J21" i="68" s="1"/>
  <c r="Q65" i="68" s="1"/>
  <c r="X22" i="68"/>
  <c r="J22" i="68" s="1"/>
  <c r="Q66" i="68" s="1"/>
  <c r="X23" i="68"/>
  <c r="J23" i="68" s="1"/>
  <c r="Q67" i="68" s="1"/>
  <c r="X24" i="68"/>
  <c r="J24" i="68" s="1"/>
  <c r="Q68" i="68" s="1"/>
  <c r="X25" i="68"/>
  <c r="X26" i="68"/>
  <c r="X27" i="68"/>
  <c r="J27" i="68" s="1"/>
  <c r="Q71" i="68" s="1"/>
  <c r="X28" i="68"/>
  <c r="J28" i="68" s="1"/>
  <c r="Q72" i="68" s="1"/>
  <c r="X29" i="68"/>
  <c r="J29" i="68" s="1"/>
  <c r="Q73" i="68" s="1"/>
  <c r="X30" i="68"/>
  <c r="J30" i="68" s="1"/>
  <c r="Q74" i="68" s="1"/>
  <c r="X31" i="68"/>
  <c r="J31" i="68" s="1"/>
  <c r="Q75" i="68" s="1"/>
  <c r="X32" i="68"/>
  <c r="J32" i="68" s="1"/>
  <c r="Q76" i="68" s="1"/>
  <c r="X33" i="68"/>
  <c r="X34" i="68"/>
  <c r="X35" i="68"/>
  <c r="X36" i="68"/>
  <c r="J36" i="68" s="1"/>
  <c r="Q80" i="68" s="1"/>
  <c r="X37" i="68"/>
  <c r="J37" i="68" s="1"/>
  <c r="Q81" i="68" s="1"/>
  <c r="X38" i="68"/>
  <c r="J38" i="68" s="1"/>
  <c r="Q82" i="68" s="1"/>
  <c r="X39" i="68"/>
  <c r="X40" i="68"/>
  <c r="X41" i="68"/>
  <c r="J41" i="68" s="1"/>
  <c r="Q85" i="68" s="1"/>
  <c r="X42" i="68"/>
  <c r="J42" i="68" s="1"/>
  <c r="Q86" i="68" s="1"/>
  <c r="X43" i="68"/>
  <c r="J43" i="68" s="1"/>
  <c r="Q87" i="68" s="1"/>
  <c r="X44" i="68"/>
  <c r="J44" i="68" s="1"/>
  <c r="Q88" i="68" s="1"/>
  <c r="X45" i="68"/>
  <c r="J45" i="68" s="1"/>
  <c r="Q89" i="68" s="1"/>
  <c r="X46" i="68"/>
  <c r="X19" i="68"/>
  <c r="W47" i="68"/>
  <c r="V47" i="68"/>
  <c r="Q63" i="68"/>
  <c r="D64" i="68"/>
  <c r="H64" i="68" s="1"/>
  <c r="D63" i="68"/>
  <c r="H63" i="68" s="1"/>
  <c r="J26" i="68" l="1"/>
  <c r="J25" i="68"/>
  <c r="Q83" i="68"/>
  <c r="J40" i="68"/>
  <c r="Q84" i="68" s="1"/>
  <c r="J39" i="68"/>
  <c r="J33" i="68"/>
  <c r="Q77" i="68" s="1"/>
  <c r="J34" i="68"/>
  <c r="Q78" i="68" s="1"/>
  <c r="Q73" i="52"/>
  <c r="I73" i="52"/>
  <c r="Q70" i="68"/>
  <c r="Q69" i="68"/>
  <c r="Q79" i="68"/>
  <c r="X47" i="68"/>
  <c r="J47" i="68"/>
  <c r="G64" i="68"/>
  <c r="G63" i="68"/>
  <c r="Q74" i="52" l="1"/>
  <c r="I74" i="52"/>
  <c r="Q91" i="68"/>
  <c r="J64" i="68"/>
  <c r="L64" i="68" s="1"/>
  <c r="J63" i="68"/>
  <c r="L63" i="68" s="1"/>
  <c r="Q75" i="52" l="1"/>
  <c r="I75" i="52"/>
  <c r="Q76" i="52" l="1"/>
  <c r="I76" i="52"/>
  <c r="Q77" i="52" l="1"/>
  <c r="I77" i="52"/>
  <c r="J38" i="52"/>
  <c r="J39" i="52" s="1"/>
  <c r="J40" i="52" s="1"/>
  <c r="J41" i="52" s="1"/>
  <c r="J42" i="52" s="1"/>
  <c r="J43" i="52" s="1"/>
  <c r="J44" i="52" s="1"/>
  <c r="J45" i="52" s="1"/>
  <c r="J46" i="52" s="1"/>
  <c r="J47" i="52" s="1"/>
  <c r="J48" i="52" s="1"/>
  <c r="J49" i="52" s="1"/>
  <c r="J50" i="52" s="1"/>
  <c r="J51" i="52" s="1"/>
  <c r="J52" i="52" s="1"/>
  <c r="J53" i="52" s="1"/>
  <c r="J54" i="52" s="1"/>
  <c r="J55" i="52" s="1"/>
  <c r="J56" i="52" s="1"/>
  <c r="J57" i="52" s="1"/>
  <c r="I38" i="52"/>
  <c r="I39" i="52" s="1"/>
  <c r="N35" i="52"/>
  <c r="M35" i="52"/>
  <c r="F93" i="54"/>
  <c r="F94" i="54" s="1"/>
  <c r="F95" i="54" s="1"/>
  <c r="F96" i="54" s="1"/>
  <c r="F97" i="54" s="1"/>
  <c r="F98" i="54" s="1"/>
  <c r="F99" i="54" s="1"/>
  <c r="F100" i="54" s="1"/>
  <c r="F101" i="54" s="1"/>
  <c r="F102" i="54" s="1"/>
  <c r="F103" i="54" s="1"/>
  <c r="F104" i="54" s="1"/>
  <c r="F105" i="54" s="1"/>
  <c r="F106" i="54" s="1"/>
  <c r="F107" i="54" s="1"/>
  <c r="F108" i="54" s="1"/>
  <c r="F109" i="54" s="1"/>
  <c r="F110" i="54" s="1"/>
  <c r="F111" i="54" s="1"/>
  <c r="F112" i="54" s="1"/>
  <c r="Q78" i="52" l="1"/>
  <c r="I78" i="52"/>
  <c r="I40" i="52"/>
  <c r="I41" i="52" s="1"/>
  <c r="Q79" i="52" l="1"/>
  <c r="I79" i="52"/>
  <c r="I42" i="52"/>
  <c r="Q80" i="52" l="1"/>
  <c r="I80" i="52"/>
  <c r="I43" i="52"/>
  <c r="Q81" i="52" l="1"/>
  <c r="I81" i="52"/>
  <c r="I44" i="52"/>
  <c r="Q82" i="52" l="1"/>
  <c r="I82" i="52"/>
  <c r="I45" i="52"/>
  <c r="Q83" i="52" l="1"/>
  <c r="I83" i="52"/>
  <c r="I46" i="52"/>
  <c r="Q84" i="52" l="1"/>
  <c r="I84" i="52"/>
  <c r="I47" i="52"/>
  <c r="Q85" i="52" l="1"/>
  <c r="I85" i="52"/>
  <c r="I48" i="52"/>
  <c r="Q86" i="52" l="1"/>
  <c r="I86" i="52"/>
  <c r="I49" i="52"/>
  <c r="I50" i="52" l="1"/>
  <c r="I51" i="52" l="1"/>
  <c r="I52" i="52" l="1"/>
  <c r="I53" i="52" l="1"/>
  <c r="I54" i="52" l="1"/>
  <c r="I55" i="52" l="1"/>
  <c r="I56" i="52" l="1"/>
  <c r="I57" i="52" l="1"/>
  <c r="C182" i="52" l="1"/>
  <c r="C183" i="52" s="1"/>
  <c r="C184" i="52" s="1"/>
  <c r="C185" i="52" s="1"/>
  <c r="C186" i="52" s="1"/>
  <c r="C187" i="52" s="1"/>
  <c r="C188" i="52" s="1"/>
  <c r="C189" i="52" s="1"/>
  <c r="C190" i="52" s="1"/>
  <c r="C191" i="52" s="1"/>
  <c r="C192" i="52" s="1"/>
  <c r="C193" i="52" s="1"/>
  <c r="C194" i="52" s="1"/>
  <c r="C195" i="52" s="1"/>
  <c r="C196" i="52" s="1"/>
  <c r="C197" i="52" s="1"/>
  <c r="C198" i="52" s="1"/>
  <c r="C199" i="52" s="1"/>
  <c r="C200" i="52" s="1"/>
  <c r="C201" i="52" s="1"/>
  <c r="B182" i="52"/>
  <c r="B183" i="52" s="1"/>
  <c r="B184" i="52" s="1"/>
  <c r="B185" i="52" s="1"/>
  <c r="B186" i="52" s="1"/>
  <c r="B187" i="52" s="1"/>
  <c r="B188" i="52" s="1"/>
  <c r="B189" i="52" s="1"/>
  <c r="B190" i="52" s="1"/>
  <c r="B191" i="52" s="1"/>
  <c r="B192" i="52" s="1"/>
  <c r="B193" i="52" s="1"/>
  <c r="B194" i="52" s="1"/>
  <c r="B195" i="52" s="1"/>
  <c r="B196" i="52" s="1"/>
  <c r="B197" i="52" s="1"/>
  <c r="B198" i="52" s="1"/>
  <c r="B199" i="52" s="1"/>
  <c r="B200" i="52" s="1"/>
  <c r="B201" i="52" s="1"/>
  <c r="I153" i="52"/>
  <c r="I154" i="52" s="1"/>
  <c r="I155" i="52" s="1"/>
  <c r="I156" i="52" s="1"/>
  <c r="I157" i="52" s="1"/>
  <c r="I158" i="52" s="1"/>
  <c r="I159" i="52" s="1"/>
  <c r="I160" i="52" s="1"/>
  <c r="I161" i="52" s="1"/>
  <c r="I162" i="52" s="1"/>
  <c r="I163" i="52" s="1"/>
  <c r="I164" i="52" s="1"/>
  <c r="I165" i="52" s="1"/>
  <c r="I166" i="52" s="1"/>
  <c r="I167" i="52" s="1"/>
  <c r="I168" i="52" s="1"/>
  <c r="I169" i="52" s="1"/>
  <c r="I170" i="52" s="1"/>
  <c r="I171" i="52" s="1"/>
  <c r="I172" i="52" s="1"/>
  <c r="H153" i="52"/>
  <c r="H154" i="52" s="1"/>
  <c r="H155" i="52" s="1"/>
  <c r="H156" i="52" s="1"/>
  <c r="H157" i="52" s="1"/>
  <c r="H158" i="52" s="1"/>
  <c r="H159" i="52" s="1"/>
  <c r="H160" i="52" s="1"/>
  <c r="H161" i="52" s="1"/>
  <c r="H162" i="52" s="1"/>
  <c r="H163" i="52" s="1"/>
  <c r="H164" i="52" s="1"/>
  <c r="H165" i="52" s="1"/>
  <c r="H166" i="52" s="1"/>
  <c r="H167" i="52" s="1"/>
  <c r="H168" i="52" s="1"/>
  <c r="H169" i="52" s="1"/>
  <c r="H170" i="52" s="1"/>
  <c r="H171" i="52" s="1"/>
  <c r="H172" i="52" s="1"/>
  <c r="C153" i="52"/>
  <c r="C154" i="52" s="1"/>
  <c r="C155" i="52" s="1"/>
  <c r="C156" i="52" s="1"/>
  <c r="C157" i="52" s="1"/>
  <c r="C158" i="52" s="1"/>
  <c r="C159" i="52" s="1"/>
  <c r="C160" i="52" s="1"/>
  <c r="C161" i="52" s="1"/>
  <c r="C162" i="52" s="1"/>
  <c r="C163" i="52" s="1"/>
  <c r="C164" i="52" s="1"/>
  <c r="C165" i="52" s="1"/>
  <c r="C166" i="52" s="1"/>
  <c r="C167" i="52" s="1"/>
  <c r="C168" i="52" s="1"/>
  <c r="C169" i="52" s="1"/>
  <c r="C170" i="52" s="1"/>
  <c r="C171" i="52" s="1"/>
  <c r="C172" i="52" s="1"/>
  <c r="B153" i="52"/>
  <c r="B154" i="52" s="1"/>
  <c r="B155" i="52" s="1"/>
  <c r="B156" i="52" s="1"/>
  <c r="B157" i="52" s="1"/>
  <c r="B158" i="52" s="1"/>
  <c r="B159" i="52" s="1"/>
  <c r="B160" i="52" s="1"/>
  <c r="B161" i="52" s="1"/>
  <c r="B162" i="52" s="1"/>
  <c r="B163" i="52" s="1"/>
  <c r="B164" i="52" s="1"/>
  <c r="B165" i="52" s="1"/>
  <c r="B166" i="52" s="1"/>
  <c r="B167" i="52" s="1"/>
  <c r="B168" i="52" s="1"/>
  <c r="B169" i="52" s="1"/>
  <c r="B170" i="52" s="1"/>
  <c r="B171" i="52" s="1"/>
  <c r="B172" i="52" s="1"/>
  <c r="C125" i="52"/>
  <c r="C126" i="52" s="1"/>
  <c r="C127" i="52" s="1"/>
  <c r="C128" i="52" s="1"/>
  <c r="C129" i="52" s="1"/>
  <c r="C130" i="52" s="1"/>
  <c r="C131" i="52" s="1"/>
  <c r="C132" i="52" s="1"/>
  <c r="C133" i="52" s="1"/>
  <c r="C134" i="52" s="1"/>
  <c r="C135" i="52" s="1"/>
  <c r="C136" i="52" s="1"/>
  <c r="C137" i="52" s="1"/>
  <c r="C138" i="52" s="1"/>
  <c r="C139" i="52" s="1"/>
  <c r="C140" i="52" s="1"/>
  <c r="C141" i="52" s="1"/>
  <c r="C142" i="52" s="1"/>
  <c r="C143" i="52" s="1"/>
  <c r="C144" i="52" s="1"/>
  <c r="B125" i="52"/>
  <c r="B126" i="52" s="1"/>
  <c r="B127" i="52" s="1"/>
  <c r="B128" i="52" s="1"/>
  <c r="B129" i="52" s="1"/>
  <c r="B130" i="52" s="1"/>
  <c r="B131" i="52" s="1"/>
  <c r="B132" i="52" s="1"/>
  <c r="B133" i="52" s="1"/>
  <c r="B134" i="52" s="1"/>
  <c r="B135" i="52" s="1"/>
  <c r="B136" i="52" s="1"/>
  <c r="B137" i="52" s="1"/>
  <c r="B138" i="52" s="1"/>
  <c r="B139" i="52" s="1"/>
  <c r="B140" i="52" s="1"/>
  <c r="B141" i="52" s="1"/>
  <c r="B142" i="52" s="1"/>
  <c r="B143" i="52" s="1"/>
  <c r="B144" i="52" s="1"/>
  <c r="C96" i="52"/>
  <c r="C97" i="52" s="1"/>
  <c r="C98" i="52" s="1"/>
  <c r="C99" i="52" s="1"/>
  <c r="C100" i="52" s="1"/>
  <c r="C101" i="52" s="1"/>
  <c r="C102" i="52" s="1"/>
  <c r="C103" i="52" s="1"/>
  <c r="C104" i="52" s="1"/>
  <c r="C105" i="52" s="1"/>
  <c r="C106" i="52" s="1"/>
  <c r="C107" i="52" s="1"/>
  <c r="C108" i="52" s="1"/>
  <c r="C109" i="52" s="1"/>
  <c r="C110" i="52" s="1"/>
  <c r="C111" i="52" s="1"/>
  <c r="C112" i="52" s="1"/>
  <c r="C113" i="52" s="1"/>
  <c r="C114" i="52" s="1"/>
  <c r="C115" i="52" s="1"/>
  <c r="B96" i="52"/>
  <c r="B97" i="52" s="1"/>
  <c r="B98" i="52" s="1"/>
  <c r="B99" i="52" s="1"/>
  <c r="B100" i="52" s="1"/>
  <c r="B101" i="52" s="1"/>
  <c r="B102" i="52" s="1"/>
  <c r="B103" i="52" s="1"/>
  <c r="B104" i="52" s="1"/>
  <c r="B105" i="52" s="1"/>
  <c r="B106" i="52" s="1"/>
  <c r="B107" i="52" s="1"/>
  <c r="B108" i="52" s="1"/>
  <c r="B109" i="52" s="1"/>
  <c r="B110" i="52" s="1"/>
  <c r="B111" i="52" s="1"/>
  <c r="B112" i="52" s="1"/>
  <c r="B113" i="52" s="1"/>
  <c r="B114" i="52" s="1"/>
  <c r="B115" i="52" s="1"/>
  <c r="C67" i="52"/>
  <c r="C68" i="52" s="1"/>
  <c r="C69" i="52" s="1"/>
  <c r="C70" i="52" s="1"/>
  <c r="C71" i="52" s="1"/>
  <c r="C72" i="52" s="1"/>
  <c r="C73" i="52" s="1"/>
  <c r="C74" i="52" s="1"/>
  <c r="C75" i="52" s="1"/>
  <c r="C76" i="52" s="1"/>
  <c r="C77" i="52" s="1"/>
  <c r="C78" i="52" s="1"/>
  <c r="C79" i="52" s="1"/>
  <c r="C80" i="52" s="1"/>
  <c r="C81" i="52" s="1"/>
  <c r="C82" i="52" s="1"/>
  <c r="C83" i="52" s="1"/>
  <c r="C84" i="52" s="1"/>
  <c r="C85" i="52" s="1"/>
  <c r="C86" i="52" s="1"/>
  <c r="B67" i="52"/>
  <c r="B68" i="52" s="1"/>
  <c r="B69" i="52" s="1"/>
  <c r="B70" i="52" s="1"/>
  <c r="B71" i="52" s="1"/>
  <c r="B72" i="52" s="1"/>
  <c r="B73" i="52" s="1"/>
  <c r="B74" i="52" s="1"/>
  <c r="B75" i="52" s="1"/>
  <c r="B76" i="52" s="1"/>
  <c r="B77" i="52" s="1"/>
  <c r="B78" i="52" s="1"/>
  <c r="B79" i="52" s="1"/>
  <c r="B80" i="52" s="1"/>
  <c r="B81" i="52" s="1"/>
  <c r="B82" i="52" s="1"/>
  <c r="B83" i="52" s="1"/>
  <c r="B84" i="52" s="1"/>
  <c r="B85" i="52" s="1"/>
  <c r="B86" i="52" s="1"/>
  <c r="C38" i="52"/>
  <c r="C39" i="52" s="1"/>
  <c r="C40" i="52" s="1"/>
  <c r="C41" i="52" s="1"/>
  <c r="C42" i="52" s="1"/>
  <c r="C43" i="52" s="1"/>
  <c r="C44" i="52" s="1"/>
  <c r="C45" i="52" s="1"/>
  <c r="C46" i="52" s="1"/>
  <c r="C47" i="52" s="1"/>
  <c r="C48" i="52" s="1"/>
  <c r="C49" i="52" s="1"/>
  <c r="C50" i="52" s="1"/>
  <c r="C51" i="52" s="1"/>
  <c r="C52" i="52" s="1"/>
  <c r="C53" i="52" s="1"/>
  <c r="C54" i="52" s="1"/>
  <c r="C55" i="52" s="1"/>
  <c r="C56" i="52" s="1"/>
  <c r="C57" i="52" s="1"/>
  <c r="B38" i="52"/>
  <c r="B39" i="52" s="1"/>
  <c r="B40" i="52" s="1"/>
  <c r="B41" i="52" s="1"/>
  <c r="B42" i="52" s="1"/>
  <c r="B43" i="52" s="1"/>
  <c r="B44" i="52" s="1"/>
  <c r="B45" i="52" s="1"/>
  <c r="B46" i="52" s="1"/>
  <c r="B47" i="52" s="1"/>
  <c r="B48" i="52" s="1"/>
  <c r="B49" i="52" s="1"/>
  <c r="B50" i="52" s="1"/>
  <c r="B51" i="52" s="1"/>
  <c r="B52" i="52" s="1"/>
  <c r="B53" i="52" s="1"/>
  <c r="B54" i="52" s="1"/>
  <c r="B55" i="52" s="1"/>
  <c r="B56" i="52" s="1"/>
  <c r="B57" i="52" s="1"/>
  <c r="C9" i="52"/>
  <c r="C10" i="52" s="1"/>
  <c r="C11" i="52" s="1"/>
  <c r="C12" i="52" s="1"/>
  <c r="C13" i="52" s="1"/>
  <c r="C14" i="52" s="1"/>
  <c r="C15" i="52" s="1"/>
  <c r="C16" i="52" s="1"/>
  <c r="C17" i="52" s="1"/>
  <c r="C18" i="52" s="1"/>
  <c r="C19" i="52" s="1"/>
  <c r="C20" i="52" s="1"/>
  <c r="C21" i="52" s="1"/>
  <c r="C22" i="52" s="1"/>
  <c r="C23" i="52" s="1"/>
  <c r="C24" i="52" s="1"/>
  <c r="C25" i="52" s="1"/>
  <c r="C26" i="52" s="1"/>
  <c r="C27" i="52" s="1"/>
  <c r="C28" i="52" s="1"/>
  <c r="B9" i="52"/>
  <c r="B10" i="52" s="1"/>
  <c r="B11" i="52" s="1"/>
  <c r="B12" i="52" s="1"/>
  <c r="B13" i="52" s="1"/>
  <c r="B14" i="52" s="1"/>
  <c r="B15" i="52" s="1"/>
  <c r="B16" i="52" s="1"/>
  <c r="B17" i="52" s="1"/>
  <c r="B18" i="52" s="1"/>
  <c r="B19" i="52" s="1"/>
  <c r="B20" i="52" s="1"/>
  <c r="B21" i="52" s="1"/>
  <c r="B22" i="52" s="1"/>
  <c r="B23" i="52" s="1"/>
  <c r="B24" i="52" s="1"/>
  <c r="B25" i="52" s="1"/>
  <c r="B26" i="52" s="1"/>
  <c r="B27" i="52" s="1"/>
  <c r="B28" i="52" s="1"/>
  <c r="Y32" i="84" l="1"/>
  <c r="X32" i="84"/>
  <c r="W32" i="84"/>
  <c r="V32" i="84"/>
  <c r="U32" i="84"/>
  <c r="T32" i="84"/>
  <c r="S32" i="84"/>
  <c r="R32" i="84"/>
  <c r="Q32" i="84"/>
  <c r="P32" i="84"/>
  <c r="O32" i="84"/>
  <c r="N32" i="84"/>
  <c r="M32" i="84"/>
  <c r="L32" i="84"/>
  <c r="K32" i="84"/>
  <c r="J32" i="84"/>
  <c r="I32" i="84"/>
  <c r="H32" i="84"/>
  <c r="G32" i="84"/>
  <c r="F32" i="84"/>
  <c r="E32" i="84"/>
  <c r="F29" i="84"/>
  <c r="G29" i="84" s="1"/>
  <c r="H29" i="84" s="1"/>
  <c r="I29" i="84" s="1"/>
  <c r="J29" i="84" s="1"/>
  <c r="K29" i="84" s="1"/>
  <c r="L29" i="84" s="1"/>
  <c r="M29" i="84" s="1"/>
  <c r="N29" i="84" s="1"/>
  <c r="O29" i="84" s="1"/>
  <c r="P29" i="84" s="1"/>
  <c r="Q29" i="84" s="1"/>
  <c r="R29" i="84" s="1"/>
  <c r="S29" i="84" s="1"/>
  <c r="T29" i="84" s="1"/>
  <c r="U29" i="84" s="1"/>
  <c r="V29" i="84" s="1"/>
  <c r="W29" i="84" s="1"/>
  <c r="X29" i="84" s="1"/>
  <c r="Y29" i="84" s="1"/>
  <c r="F41" i="84"/>
  <c r="F42" i="84" s="1"/>
  <c r="F43" i="84" s="1"/>
  <c r="F44" i="84" s="1"/>
  <c r="F45" i="84" s="1"/>
  <c r="F46" i="84" s="1"/>
  <c r="F47" i="84" s="1"/>
  <c r="F48" i="84" s="1"/>
  <c r="F49" i="84" s="1"/>
  <c r="F50" i="84" s="1"/>
  <c r="F51" i="84" s="1"/>
  <c r="F52" i="84" s="1"/>
  <c r="F53" i="84" s="1"/>
  <c r="F54" i="84" s="1"/>
  <c r="F55" i="84" s="1"/>
  <c r="F56" i="84" s="1"/>
  <c r="F57" i="84" s="1"/>
  <c r="F58" i="84" s="1"/>
  <c r="F59" i="84" s="1"/>
  <c r="F60" i="84" s="1"/>
  <c r="S47" i="77"/>
  <c r="L150" i="52" l="1"/>
  <c r="K150" i="52"/>
  <c r="F25" i="84"/>
  <c r="G25" i="84"/>
  <c r="H25" i="84"/>
  <c r="I25" i="84"/>
  <c r="J25" i="84"/>
  <c r="K25" i="84"/>
  <c r="L25" i="84"/>
  <c r="M25" i="84"/>
  <c r="N25" i="84"/>
  <c r="O25" i="84"/>
  <c r="P25" i="84"/>
  <c r="Q25" i="84"/>
  <c r="R25" i="84"/>
  <c r="S25" i="84"/>
  <c r="T25" i="84"/>
  <c r="U25" i="84"/>
  <c r="V25" i="84"/>
  <c r="W25" i="84"/>
  <c r="X25" i="84"/>
  <c r="Y25" i="84"/>
  <c r="E25" i="84"/>
  <c r="C6" i="84"/>
  <c r="E11" i="84" s="1"/>
  <c r="I41" i="84"/>
  <c r="I42" i="84" s="1"/>
  <c r="I43" i="84" s="1"/>
  <c r="I44" i="84" s="1"/>
  <c r="I45" i="84" s="1"/>
  <c r="I46" i="84" s="1"/>
  <c r="I47" i="84" s="1"/>
  <c r="I48" i="84" s="1"/>
  <c r="I49" i="84" s="1"/>
  <c r="I50" i="84" s="1"/>
  <c r="I51" i="84" s="1"/>
  <c r="I52" i="84" s="1"/>
  <c r="I53" i="84" s="1"/>
  <c r="I54" i="84" s="1"/>
  <c r="I55" i="84" s="1"/>
  <c r="I56" i="84" s="1"/>
  <c r="I57" i="84" s="1"/>
  <c r="I58" i="84" s="1"/>
  <c r="I59" i="84" s="1"/>
  <c r="I60" i="84" s="1"/>
  <c r="F22" i="84"/>
  <c r="G22" i="84" s="1"/>
  <c r="H22" i="84" s="1"/>
  <c r="I22" i="84" s="1"/>
  <c r="J22" i="84" s="1"/>
  <c r="K22" i="84" s="1"/>
  <c r="L22" i="84" s="1"/>
  <c r="M22" i="84" s="1"/>
  <c r="N22" i="84" s="1"/>
  <c r="O22" i="84" s="1"/>
  <c r="P22" i="84" s="1"/>
  <c r="Q22" i="84" s="1"/>
  <c r="R22" i="84" s="1"/>
  <c r="S22" i="84" s="1"/>
  <c r="T22" i="84" s="1"/>
  <c r="U22" i="84" s="1"/>
  <c r="V22" i="84" s="1"/>
  <c r="W22" i="84" s="1"/>
  <c r="X22" i="84" s="1"/>
  <c r="Y22" i="84" s="1"/>
  <c r="E33" i="84" l="1"/>
  <c r="F11" i="84" l="1"/>
  <c r="E26" i="84"/>
  <c r="F31" i="84" l="1"/>
  <c r="F33" i="84" s="1"/>
  <c r="F24" i="84"/>
  <c r="G11" i="84"/>
  <c r="F33" i="77"/>
  <c r="G33" i="77" s="1"/>
  <c r="H33" i="77" s="1"/>
  <c r="I33" i="77" s="1"/>
  <c r="J33" i="77" s="1"/>
  <c r="K33" i="77" s="1"/>
  <c r="L33" i="77" s="1"/>
  <c r="M33" i="77" s="1"/>
  <c r="N33" i="77" s="1"/>
  <c r="O33" i="77" s="1"/>
  <c r="P33" i="77" s="1"/>
  <c r="Q33" i="77" s="1"/>
  <c r="R33" i="77" s="1"/>
  <c r="S33" i="77" s="1"/>
  <c r="T33" i="77" s="1"/>
  <c r="U33" i="77" s="1"/>
  <c r="V33" i="77" s="1"/>
  <c r="W33" i="77" s="1"/>
  <c r="X33" i="77" s="1"/>
  <c r="Y33" i="77" s="1"/>
  <c r="F17" i="77"/>
  <c r="G17" i="77" s="1"/>
  <c r="H17" i="77" s="1"/>
  <c r="I17" i="77" s="1"/>
  <c r="J17" i="77" s="1"/>
  <c r="K17" i="77" s="1"/>
  <c r="L17" i="77" s="1"/>
  <c r="M17" i="77" s="1"/>
  <c r="N17" i="77" s="1"/>
  <c r="O17" i="77" s="1"/>
  <c r="P17" i="77" s="1"/>
  <c r="Q17" i="77" s="1"/>
  <c r="R17" i="77" s="1"/>
  <c r="S17" i="77" s="1"/>
  <c r="T17" i="77" s="1"/>
  <c r="U17" i="77" s="1"/>
  <c r="V17" i="77" s="1"/>
  <c r="W17" i="77" s="1"/>
  <c r="X17" i="77" s="1"/>
  <c r="Y17" i="77" s="1"/>
  <c r="F48" i="77"/>
  <c r="F49" i="77" s="1"/>
  <c r="F50" i="77" s="1"/>
  <c r="F51" i="77" s="1"/>
  <c r="F52" i="77" s="1"/>
  <c r="F53" i="77" s="1"/>
  <c r="F54" i="77" s="1"/>
  <c r="F55" i="77" s="1"/>
  <c r="F56" i="77" s="1"/>
  <c r="F57" i="77" s="1"/>
  <c r="F58" i="77" s="1"/>
  <c r="F59" i="77" s="1"/>
  <c r="F60" i="77" s="1"/>
  <c r="F61" i="77" s="1"/>
  <c r="F62" i="77" s="1"/>
  <c r="F63" i="77" s="1"/>
  <c r="F64" i="77" s="1"/>
  <c r="F65" i="77" s="1"/>
  <c r="F66" i="77" s="1"/>
  <c r="F67" i="77" s="1"/>
  <c r="F81" i="60"/>
  <c r="F82" i="60" s="1"/>
  <c r="F83" i="60" s="1"/>
  <c r="F84" i="60" s="1"/>
  <c r="F85" i="60" s="1"/>
  <c r="F86" i="60" s="1"/>
  <c r="F87" i="60" s="1"/>
  <c r="F88" i="60" s="1"/>
  <c r="F89" i="60" s="1"/>
  <c r="F90" i="60" s="1"/>
  <c r="F91" i="60" s="1"/>
  <c r="F92" i="60" s="1"/>
  <c r="F93" i="60" s="1"/>
  <c r="F94" i="60" s="1"/>
  <c r="F95" i="60" s="1"/>
  <c r="F96" i="60" s="1"/>
  <c r="F97" i="60" s="1"/>
  <c r="F98" i="60" s="1"/>
  <c r="F99" i="60" s="1"/>
  <c r="F100" i="60" s="1"/>
  <c r="F63" i="60"/>
  <c r="G63" i="60" s="1"/>
  <c r="H63" i="60" s="1"/>
  <c r="I63" i="60" s="1"/>
  <c r="J63" i="60" s="1"/>
  <c r="K63" i="60" s="1"/>
  <c r="L63" i="60" s="1"/>
  <c r="M63" i="60" s="1"/>
  <c r="N63" i="60" s="1"/>
  <c r="O63" i="60" s="1"/>
  <c r="P63" i="60" s="1"/>
  <c r="Q63" i="60" s="1"/>
  <c r="R63" i="60" s="1"/>
  <c r="S63" i="60" s="1"/>
  <c r="T63" i="60" s="1"/>
  <c r="U63" i="60" s="1"/>
  <c r="V63" i="60" s="1"/>
  <c r="W63" i="60" s="1"/>
  <c r="X63" i="60" s="1"/>
  <c r="Y63" i="60" s="1"/>
  <c r="G40" i="60"/>
  <c r="H40" i="60" s="1"/>
  <c r="I40" i="60" s="1"/>
  <c r="J40" i="60" s="1"/>
  <c r="K40" i="60" s="1"/>
  <c r="L40" i="60" s="1"/>
  <c r="M40" i="60" s="1"/>
  <c r="N40" i="60" s="1"/>
  <c r="O40" i="60" s="1"/>
  <c r="P40" i="60" s="1"/>
  <c r="Q40" i="60" s="1"/>
  <c r="R40" i="60" s="1"/>
  <c r="S40" i="60" s="1"/>
  <c r="T40" i="60" s="1"/>
  <c r="U40" i="60" s="1"/>
  <c r="V40" i="60" s="1"/>
  <c r="W40" i="60" s="1"/>
  <c r="X40" i="60" s="1"/>
  <c r="Y40" i="60" s="1"/>
  <c r="F40" i="60"/>
  <c r="G16" i="60"/>
  <c r="H16" i="60"/>
  <c r="I16" i="60"/>
  <c r="J16" i="60"/>
  <c r="K16" i="60" s="1"/>
  <c r="L16" i="60" s="1"/>
  <c r="M16" i="60" s="1"/>
  <c r="N16" i="60" s="1"/>
  <c r="O16" i="60" s="1"/>
  <c r="P16" i="60" s="1"/>
  <c r="Q16" i="60" s="1"/>
  <c r="R16" i="60" s="1"/>
  <c r="S16" i="60" s="1"/>
  <c r="T16" i="60" s="1"/>
  <c r="U16" i="60" s="1"/>
  <c r="V16" i="60" s="1"/>
  <c r="W16" i="60" s="1"/>
  <c r="X16" i="60" s="1"/>
  <c r="Y16" i="60" s="1"/>
  <c r="F16" i="60"/>
  <c r="F398" i="56"/>
  <c r="F399" i="56" s="1"/>
  <c r="F400" i="56" s="1"/>
  <c r="F401" i="56" s="1"/>
  <c r="F402" i="56" s="1"/>
  <c r="F403" i="56" s="1"/>
  <c r="F404" i="56" s="1"/>
  <c r="F405" i="56" s="1"/>
  <c r="F406" i="56" s="1"/>
  <c r="F407" i="56" s="1"/>
  <c r="F408" i="56" s="1"/>
  <c r="F409" i="56" s="1"/>
  <c r="F410" i="56" s="1"/>
  <c r="F411" i="56" s="1"/>
  <c r="F412" i="56" s="1"/>
  <c r="F413" i="56" s="1"/>
  <c r="F414" i="56" s="1"/>
  <c r="F415" i="56" s="1"/>
  <c r="F416" i="56" s="1"/>
  <c r="F397" i="56"/>
  <c r="F366" i="56"/>
  <c r="F367" i="56" s="1"/>
  <c r="F368" i="56" s="1"/>
  <c r="F369" i="56" s="1"/>
  <c r="F370" i="56" s="1"/>
  <c r="F371" i="56" s="1"/>
  <c r="F372" i="56" s="1"/>
  <c r="F373" i="56" s="1"/>
  <c r="F374" i="56" s="1"/>
  <c r="F375" i="56" s="1"/>
  <c r="F376" i="56" s="1"/>
  <c r="F377" i="56" s="1"/>
  <c r="F378" i="56" s="1"/>
  <c r="F379" i="56" s="1"/>
  <c r="F380" i="56" s="1"/>
  <c r="F381" i="56" s="1"/>
  <c r="F382" i="56" s="1"/>
  <c r="F383" i="56" s="1"/>
  <c r="F384" i="56" s="1"/>
  <c r="F365" i="56"/>
  <c r="D83" i="56" a="1"/>
  <c r="D83" i="56" s="1"/>
  <c r="S83" i="56"/>
  <c r="E352" i="56"/>
  <c r="F352" i="56" s="1"/>
  <c r="G352" i="56" s="1"/>
  <c r="H352" i="56" s="1"/>
  <c r="I352" i="56" s="1"/>
  <c r="J352" i="56" s="1"/>
  <c r="K352" i="56" s="1"/>
  <c r="L352" i="56" s="1"/>
  <c r="M352" i="56" s="1"/>
  <c r="N352" i="56" s="1"/>
  <c r="O352" i="56" s="1"/>
  <c r="P352" i="56" s="1"/>
  <c r="Q352" i="56" s="1"/>
  <c r="R352" i="56" s="1"/>
  <c r="S352" i="56" s="1"/>
  <c r="T352" i="56" s="1"/>
  <c r="U352" i="56" s="1"/>
  <c r="V352" i="56" s="1"/>
  <c r="W352" i="56" s="1"/>
  <c r="X352" i="56" s="1"/>
  <c r="E344" i="56"/>
  <c r="F344" i="56" s="1"/>
  <c r="G344" i="56" s="1"/>
  <c r="H344" i="56" s="1"/>
  <c r="I344" i="56" s="1"/>
  <c r="J344" i="56" s="1"/>
  <c r="K344" i="56" s="1"/>
  <c r="L344" i="56" s="1"/>
  <c r="M344" i="56" s="1"/>
  <c r="N344" i="56" s="1"/>
  <c r="O344" i="56" s="1"/>
  <c r="P344" i="56" s="1"/>
  <c r="Q344" i="56" s="1"/>
  <c r="R344" i="56" s="1"/>
  <c r="S344" i="56" s="1"/>
  <c r="T344" i="56" s="1"/>
  <c r="U344" i="56" s="1"/>
  <c r="V344" i="56" s="1"/>
  <c r="W344" i="56" s="1"/>
  <c r="X344" i="56" s="1"/>
  <c r="E337" i="56"/>
  <c r="F337" i="56" s="1"/>
  <c r="G337" i="56" s="1"/>
  <c r="H337" i="56" s="1"/>
  <c r="I337" i="56" s="1"/>
  <c r="J337" i="56" s="1"/>
  <c r="K337" i="56" s="1"/>
  <c r="L337" i="56" s="1"/>
  <c r="M337" i="56" s="1"/>
  <c r="N337" i="56" s="1"/>
  <c r="O337" i="56" s="1"/>
  <c r="P337" i="56" s="1"/>
  <c r="Q337" i="56" s="1"/>
  <c r="R337" i="56" s="1"/>
  <c r="S337" i="56" s="1"/>
  <c r="T337" i="56" s="1"/>
  <c r="U337" i="56" s="1"/>
  <c r="V337" i="56" s="1"/>
  <c r="W337" i="56" s="1"/>
  <c r="X337" i="56" s="1"/>
  <c r="E328" i="56"/>
  <c r="F328" i="56" s="1"/>
  <c r="G328" i="56" s="1"/>
  <c r="H328" i="56" s="1"/>
  <c r="I328" i="56" s="1"/>
  <c r="J328" i="56" s="1"/>
  <c r="K328" i="56" s="1"/>
  <c r="L328" i="56" s="1"/>
  <c r="M328" i="56" s="1"/>
  <c r="N328" i="56" s="1"/>
  <c r="O328" i="56" s="1"/>
  <c r="P328" i="56" s="1"/>
  <c r="Q328" i="56" s="1"/>
  <c r="R328" i="56" s="1"/>
  <c r="S328" i="56" s="1"/>
  <c r="T328" i="56" s="1"/>
  <c r="U328" i="56" s="1"/>
  <c r="V328" i="56" s="1"/>
  <c r="W328" i="56" s="1"/>
  <c r="X328" i="56" s="1"/>
  <c r="E321" i="56"/>
  <c r="F321" i="56" s="1"/>
  <c r="G321" i="56" s="1"/>
  <c r="H321" i="56" s="1"/>
  <c r="I321" i="56" s="1"/>
  <c r="J321" i="56" s="1"/>
  <c r="K321" i="56" s="1"/>
  <c r="L321" i="56" s="1"/>
  <c r="M321" i="56" s="1"/>
  <c r="N321" i="56" s="1"/>
  <c r="O321" i="56" s="1"/>
  <c r="P321" i="56" s="1"/>
  <c r="Q321" i="56" s="1"/>
  <c r="R321" i="56" s="1"/>
  <c r="S321" i="56" s="1"/>
  <c r="T321" i="56" s="1"/>
  <c r="U321" i="56" s="1"/>
  <c r="V321" i="56" s="1"/>
  <c r="W321" i="56" s="1"/>
  <c r="X321" i="56" s="1"/>
  <c r="E314" i="56"/>
  <c r="F314" i="56" s="1"/>
  <c r="G314" i="56" s="1"/>
  <c r="H314" i="56" s="1"/>
  <c r="I314" i="56" s="1"/>
  <c r="J314" i="56" s="1"/>
  <c r="K314" i="56" s="1"/>
  <c r="L314" i="56" s="1"/>
  <c r="M314" i="56" s="1"/>
  <c r="N314" i="56" s="1"/>
  <c r="O314" i="56" s="1"/>
  <c r="P314" i="56" s="1"/>
  <c r="Q314" i="56" s="1"/>
  <c r="R314" i="56" s="1"/>
  <c r="S314" i="56" s="1"/>
  <c r="T314" i="56" s="1"/>
  <c r="U314" i="56" s="1"/>
  <c r="V314" i="56" s="1"/>
  <c r="W314" i="56" s="1"/>
  <c r="X314" i="56" s="1"/>
  <c r="E302" i="56"/>
  <c r="F302" i="56" s="1"/>
  <c r="G302" i="56" s="1"/>
  <c r="H302" i="56" s="1"/>
  <c r="I302" i="56" s="1"/>
  <c r="J302" i="56" s="1"/>
  <c r="K302" i="56" s="1"/>
  <c r="L302" i="56" s="1"/>
  <c r="M302" i="56" s="1"/>
  <c r="N302" i="56" s="1"/>
  <c r="O302" i="56" s="1"/>
  <c r="P302" i="56" s="1"/>
  <c r="Q302" i="56" s="1"/>
  <c r="R302" i="56" s="1"/>
  <c r="S302" i="56" s="1"/>
  <c r="T302" i="56" s="1"/>
  <c r="U302" i="56" s="1"/>
  <c r="V302" i="56" s="1"/>
  <c r="W302" i="56" s="1"/>
  <c r="X302" i="56" s="1"/>
  <c r="E295" i="56"/>
  <c r="F295" i="56" s="1"/>
  <c r="G295" i="56" s="1"/>
  <c r="H295" i="56" s="1"/>
  <c r="I295" i="56" s="1"/>
  <c r="J295" i="56" s="1"/>
  <c r="K295" i="56" s="1"/>
  <c r="L295" i="56" s="1"/>
  <c r="M295" i="56" s="1"/>
  <c r="N295" i="56" s="1"/>
  <c r="O295" i="56" s="1"/>
  <c r="P295" i="56" s="1"/>
  <c r="Q295" i="56" s="1"/>
  <c r="R295" i="56" s="1"/>
  <c r="S295" i="56" s="1"/>
  <c r="T295" i="56" s="1"/>
  <c r="U295" i="56" s="1"/>
  <c r="V295" i="56" s="1"/>
  <c r="W295" i="56" s="1"/>
  <c r="X295" i="56" s="1"/>
  <c r="E289" i="56"/>
  <c r="F289" i="56" s="1"/>
  <c r="G289" i="56" s="1"/>
  <c r="H289" i="56" s="1"/>
  <c r="I289" i="56" s="1"/>
  <c r="J289" i="56" s="1"/>
  <c r="K289" i="56" s="1"/>
  <c r="L289" i="56" s="1"/>
  <c r="M289" i="56" s="1"/>
  <c r="N289" i="56" s="1"/>
  <c r="O289" i="56" s="1"/>
  <c r="P289" i="56" s="1"/>
  <c r="Q289" i="56" s="1"/>
  <c r="R289" i="56" s="1"/>
  <c r="S289" i="56" s="1"/>
  <c r="T289" i="56" s="1"/>
  <c r="U289" i="56" s="1"/>
  <c r="V289" i="56" s="1"/>
  <c r="W289" i="56" s="1"/>
  <c r="X289" i="56" s="1"/>
  <c r="E282" i="56"/>
  <c r="F282" i="56" s="1"/>
  <c r="G282" i="56" s="1"/>
  <c r="H282" i="56" s="1"/>
  <c r="I282" i="56" s="1"/>
  <c r="J282" i="56" s="1"/>
  <c r="K282" i="56" s="1"/>
  <c r="L282" i="56" s="1"/>
  <c r="M282" i="56" s="1"/>
  <c r="N282" i="56" s="1"/>
  <c r="O282" i="56" s="1"/>
  <c r="P282" i="56" s="1"/>
  <c r="Q282" i="56" s="1"/>
  <c r="R282" i="56" s="1"/>
  <c r="S282" i="56" s="1"/>
  <c r="T282" i="56" s="1"/>
  <c r="U282" i="56" s="1"/>
  <c r="V282" i="56" s="1"/>
  <c r="W282" i="56" s="1"/>
  <c r="X282" i="56" s="1"/>
  <c r="E275" i="56"/>
  <c r="F275" i="56" s="1"/>
  <c r="G275" i="56" s="1"/>
  <c r="H275" i="56" s="1"/>
  <c r="I275" i="56" s="1"/>
  <c r="J275" i="56" s="1"/>
  <c r="K275" i="56" s="1"/>
  <c r="L275" i="56" s="1"/>
  <c r="M275" i="56" s="1"/>
  <c r="N275" i="56" s="1"/>
  <c r="O275" i="56" s="1"/>
  <c r="P275" i="56" s="1"/>
  <c r="Q275" i="56" s="1"/>
  <c r="R275" i="56" s="1"/>
  <c r="S275" i="56" s="1"/>
  <c r="T275" i="56" s="1"/>
  <c r="U275" i="56" s="1"/>
  <c r="V275" i="56" s="1"/>
  <c r="W275" i="56" s="1"/>
  <c r="X275" i="56" s="1"/>
  <c r="E266" i="56"/>
  <c r="F266" i="56" s="1"/>
  <c r="G266" i="56" s="1"/>
  <c r="H266" i="56" s="1"/>
  <c r="I266" i="56" s="1"/>
  <c r="J266" i="56" s="1"/>
  <c r="K266" i="56" s="1"/>
  <c r="L266" i="56" s="1"/>
  <c r="M266" i="56" s="1"/>
  <c r="N266" i="56" s="1"/>
  <c r="O266" i="56" s="1"/>
  <c r="P266" i="56" s="1"/>
  <c r="Q266" i="56" s="1"/>
  <c r="R266" i="56" s="1"/>
  <c r="S266" i="56" s="1"/>
  <c r="T266" i="56" s="1"/>
  <c r="U266" i="56" s="1"/>
  <c r="V266" i="56" s="1"/>
  <c r="W266" i="56" s="1"/>
  <c r="X266" i="56" s="1"/>
  <c r="E259" i="56"/>
  <c r="F259" i="56" s="1"/>
  <c r="G259" i="56" s="1"/>
  <c r="H259" i="56" s="1"/>
  <c r="I259" i="56" s="1"/>
  <c r="J259" i="56" s="1"/>
  <c r="K259" i="56" s="1"/>
  <c r="L259" i="56" s="1"/>
  <c r="M259" i="56" s="1"/>
  <c r="N259" i="56" s="1"/>
  <c r="O259" i="56" s="1"/>
  <c r="P259" i="56" s="1"/>
  <c r="Q259" i="56" s="1"/>
  <c r="R259" i="56" s="1"/>
  <c r="S259" i="56" s="1"/>
  <c r="T259" i="56" s="1"/>
  <c r="U259" i="56" s="1"/>
  <c r="V259" i="56" s="1"/>
  <c r="W259" i="56" s="1"/>
  <c r="X259" i="56" s="1"/>
  <c r="E252" i="56"/>
  <c r="F252" i="56" s="1"/>
  <c r="G252" i="56" s="1"/>
  <c r="H252" i="56" s="1"/>
  <c r="I252" i="56" s="1"/>
  <c r="J252" i="56" s="1"/>
  <c r="K252" i="56" s="1"/>
  <c r="L252" i="56" s="1"/>
  <c r="M252" i="56" s="1"/>
  <c r="N252" i="56" s="1"/>
  <c r="O252" i="56" s="1"/>
  <c r="P252" i="56" s="1"/>
  <c r="Q252" i="56" s="1"/>
  <c r="R252" i="56" s="1"/>
  <c r="S252" i="56" s="1"/>
  <c r="T252" i="56" s="1"/>
  <c r="U252" i="56" s="1"/>
  <c r="V252" i="56" s="1"/>
  <c r="W252" i="56" s="1"/>
  <c r="X252" i="56" s="1"/>
  <c r="E241" i="56"/>
  <c r="F241" i="56" s="1"/>
  <c r="G241" i="56" s="1"/>
  <c r="H241" i="56" s="1"/>
  <c r="I241" i="56" s="1"/>
  <c r="J241" i="56" s="1"/>
  <c r="K241" i="56" s="1"/>
  <c r="L241" i="56" s="1"/>
  <c r="M241" i="56" s="1"/>
  <c r="N241" i="56" s="1"/>
  <c r="O241" i="56" s="1"/>
  <c r="P241" i="56" s="1"/>
  <c r="Q241" i="56" s="1"/>
  <c r="R241" i="56" s="1"/>
  <c r="S241" i="56" s="1"/>
  <c r="T241" i="56" s="1"/>
  <c r="U241" i="56" s="1"/>
  <c r="V241" i="56" s="1"/>
  <c r="W241" i="56" s="1"/>
  <c r="X241" i="56" s="1"/>
  <c r="F234" i="56"/>
  <c r="G234" i="56" s="1"/>
  <c r="H234" i="56" s="1"/>
  <c r="I234" i="56" s="1"/>
  <c r="J234" i="56" s="1"/>
  <c r="K234" i="56" s="1"/>
  <c r="L234" i="56" s="1"/>
  <c r="M234" i="56" s="1"/>
  <c r="N234" i="56" s="1"/>
  <c r="O234" i="56" s="1"/>
  <c r="P234" i="56" s="1"/>
  <c r="Q234" i="56" s="1"/>
  <c r="R234" i="56" s="1"/>
  <c r="S234" i="56" s="1"/>
  <c r="T234" i="56" s="1"/>
  <c r="U234" i="56" s="1"/>
  <c r="V234" i="56" s="1"/>
  <c r="W234" i="56" s="1"/>
  <c r="X234" i="56" s="1"/>
  <c r="E234" i="56"/>
  <c r="E227" i="56"/>
  <c r="F227" i="56" s="1"/>
  <c r="G227" i="56" s="1"/>
  <c r="H227" i="56" s="1"/>
  <c r="I227" i="56" s="1"/>
  <c r="J227" i="56" s="1"/>
  <c r="K227" i="56" s="1"/>
  <c r="L227" i="56" s="1"/>
  <c r="M227" i="56" s="1"/>
  <c r="N227" i="56" s="1"/>
  <c r="O227" i="56" s="1"/>
  <c r="P227" i="56" s="1"/>
  <c r="Q227" i="56" s="1"/>
  <c r="R227" i="56" s="1"/>
  <c r="S227" i="56" s="1"/>
  <c r="T227" i="56" s="1"/>
  <c r="U227" i="56" s="1"/>
  <c r="V227" i="56" s="1"/>
  <c r="W227" i="56" s="1"/>
  <c r="X227" i="56" s="1"/>
  <c r="E220" i="56"/>
  <c r="F220" i="56" s="1"/>
  <c r="G220" i="56" s="1"/>
  <c r="H220" i="56" s="1"/>
  <c r="I220" i="56" s="1"/>
  <c r="J220" i="56" s="1"/>
  <c r="K220" i="56" s="1"/>
  <c r="L220" i="56" s="1"/>
  <c r="M220" i="56" s="1"/>
  <c r="N220" i="56" s="1"/>
  <c r="O220" i="56" s="1"/>
  <c r="P220" i="56" s="1"/>
  <c r="Q220" i="56" s="1"/>
  <c r="R220" i="56" s="1"/>
  <c r="S220" i="56" s="1"/>
  <c r="T220" i="56" s="1"/>
  <c r="U220" i="56" s="1"/>
  <c r="V220" i="56" s="1"/>
  <c r="W220" i="56" s="1"/>
  <c r="X220" i="56" s="1"/>
  <c r="F213" i="56"/>
  <c r="G213" i="56" s="1"/>
  <c r="H213" i="56" s="1"/>
  <c r="I213" i="56" s="1"/>
  <c r="J213" i="56" s="1"/>
  <c r="K213" i="56" s="1"/>
  <c r="L213" i="56" s="1"/>
  <c r="M213" i="56" s="1"/>
  <c r="N213" i="56" s="1"/>
  <c r="O213" i="56" s="1"/>
  <c r="P213" i="56" s="1"/>
  <c r="Q213" i="56" s="1"/>
  <c r="R213" i="56" s="1"/>
  <c r="S213" i="56" s="1"/>
  <c r="T213" i="56" s="1"/>
  <c r="U213" i="56" s="1"/>
  <c r="V213" i="56" s="1"/>
  <c r="W213" i="56" s="1"/>
  <c r="X213" i="56" s="1"/>
  <c r="E213" i="56"/>
  <c r="E201" i="56"/>
  <c r="F201" i="56" s="1"/>
  <c r="G201" i="56" s="1"/>
  <c r="H201" i="56" s="1"/>
  <c r="I201" i="56" s="1"/>
  <c r="J201" i="56" s="1"/>
  <c r="K201" i="56" s="1"/>
  <c r="L201" i="56" s="1"/>
  <c r="M201" i="56" s="1"/>
  <c r="N201" i="56" s="1"/>
  <c r="O201" i="56" s="1"/>
  <c r="P201" i="56" s="1"/>
  <c r="Q201" i="56" s="1"/>
  <c r="R201" i="56" s="1"/>
  <c r="S201" i="56" s="1"/>
  <c r="T201" i="56" s="1"/>
  <c r="U201" i="56" s="1"/>
  <c r="V201" i="56" s="1"/>
  <c r="W201" i="56" s="1"/>
  <c r="X201" i="56" s="1"/>
  <c r="E194" i="56"/>
  <c r="F194" i="56" s="1"/>
  <c r="G194" i="56" s="1"/>
  <c r="H194" i="56" s="1"/>
  <c r="I194" i="56" s="1"/>
  <c r="J194" i="56" s="1"/>
  <c r="K194" i="56" s="1"/>
  <c r="L194" i="56" s="1"/>
  <c r="M194" i="56" s="1"/>
  <c r="N194" i="56" s="1"/>
  <c r="O194" i="56" s="1"/>
  <c r="P194" i="56" s="1"/>
  <c r="Q194" i="56" s="1"/>
  <c r="R194" i="56" s="1"/>
  <c r="S194" i="56" s="1"/>
  <c r="T194" i="56" s="1"/>
  <c r="U194" i="56" s="1"/>
  <c r="V194" i="56" s="1"/>
  <c r="W194" i="56" s="1"/>
  <c r="X194" i="56" s="1"/>
  <c r="E187" i="56"/>
  <c r="F187" i="56" s="1"/>
  <c r="G187" i="56" s="1"/>
  <c r="H187" i="56" s="1"/>
  <c r="I187" i="56" s="1"/>
  <c r="J187" i="56" s="1"/>
  <c r="K187" i="56" s="1"/>
  <c r="L187" i="56" s="1"/>
  <c r="M187" i="56" s="1"/>
  <c r="N187" i="56" s="1"/>
  <c r="O187" i="56" s="1"/>
  <c r="P187" i="56" s="1"/>
  <c r="Q187" i="56" s="1"/>
  <c r="R187" i="56" s="1"/>
  <c r="S187" i="56" s="1"/>
  <c r="T187" i="56" s="1"/>
  <c r="U187" i="56" s="1"/>
  <c r="V187" i="56" s="1"/>
  <c r="W187" i="56" s="1"/>
  <c r="X187" i="56" s="1"/>
  <c r="E176" i="56"/>
  <c r="F176" i="56" s="1"/>
  <c r="G176" i="56" s="1"/>
  <c r="H176" i="56" s="1"/>
  <c r="I176" i="56" s="1"/>
  <c r="J176" i="56" s="1"/>
  <c r="K176" i="56" s="1"/>
  <c r="L176" i="56" s="1"/>
  <c r="M176" i="56" s="1"/>
  <c r="N176" i="56" s="1"/>
  <c r="O176" i="56" s="1"/>
  <c r="P176" i="56" s="1"/>
  <c r="Q176" i="56" s="1"/>
  <c r="R176" i="56" s="1"/>
  <c r="S176" i="56" s="1"/>
  <c r="T176" i="56" s="1"/>
  <c r="U176" i="56" s="1"/>
  <c r="V176" i="56" s="1"/>
  <c r="W176" i="56" s="1"/>
  <c r="X176" i="56" s="1"/>
  <c r="E169" i="56"/>
  <c r="F169" i="56" s="1"/>
  <c r="G169" i="56" s="1"/>
  <c r="H169" i="56" s="1"/>
  <c r="I169" i="56" s="1"/>
  <c r="J169" i="56" s="1"/>
  <c r="K169" i="56" s="1"/>
  <c r="L169" i="56" s="1"/>
  <c r="M169" i="56" s="1"/>
  <c r="N169" i="56" s="1"/>
  <c r="O169" i="56" s="1"/>
  <c r="P169" i="56" s="1"/>
  <c r="Q169" i="56" s="1"/>
  <c r="R169" i="56" s="1"/>
  <c r="S169" i="56" s="1"/>
  <c r="T169" i="56" s="1"/>
  <c r="U169" i="56" s="1"/>
  <c r="V169" i="56" s="1"/>
  <c r="W169" i="56" s="1"/>
  <c r="X169" i="56" s="1"/>
  <c r="E163" i="56"/>
  <c r="F163" i="56" s="1"/>
  <c r="G163" i="56" s="1"/>
  <c r="H163" i="56" s="1"/>
  <c r="I163" i="56" s="1"/>
  <c r="J163" i="56" s="1"/>
  <c r="K163" i="56" s="1"/>
  <c r="L163" i="56" s="1"/>
  <c r="M163" i="56" s="1"/>
  <c r="N163" i="56" s="1"/>
  <c r="O163" i="56" s="1"/>
  <c r="P163" i="56" s="1"/>
  <c r="Q163" i="56" s="1"/>
  <c r="R163" i="56" s="1"/>
  <c r="S163" i="56" s="1"/>
  <c r="T163" i="56" s="1"/>
  <c r="U163" i="56" s="1"/>
  <c r="V163" i="56" s="1"/>
  <c r="W163" i="56" s="1"/>
  <c r="X163" i="56" s="1"/>
  <c r="E156" i="56"/>
  <c r="F156" i="56" s="1"/>
  <c r="G156" i="56" s="1"/>
  <c r="H156" i="56" s="1"/>
  <c r="I156" i="56" s="1"/>
  <c r="J156" i="56" s="1"/>
  <c r="K156" i="56" s="1"/>
  <c r="L156" i="56" s="1"/>
  <c r="M156" i="56" s="1"/>
  <c r="N156" i="56" s="1"/>
  <c r="O156" i="56" s="1"/>
  <c r="P156" i="56" s="1"/>
  <c r="Q156" i="56" s="1"/>
  <c r="R156" i="56" s="1"/>
  <c r="S156" i="56" s="1"/>
  <c r="T156" i="56" s="1"/>
  <c r="U156" i="56" s="1"/>
  <c r="V156" i="56" s="1"/>
  <c r="W156" i="56" s="1"/>
  <c r="X156" i="56" s="1"/>
  <c r="E149" i="56"/>
  <c r="F149" i="56" s="1"/>
  <c r="G149" i="56" s="1"/>
  <c r="H149" i="56" s="1"/>
  <c r="I149" i="56" s="1"/>
  <c r="J149" i="56" s="1"/>
  <c r="K149" i="56" s="1"/>
  <c r="L149" i="56" s="1"/>
  <c r="M149" i="56" s="1"/>
  <c r="N149" i="56" s="1"/>
  <c r="O149" i="56" s="1"/>
  <c r="P149" i="56" s="1"/>
  <c r="Q149" i="56" s="1"/>
  <c r="R149" i="56" s="1"/>
  <c r="S149" i="56" s="1"/>
  <c r="T149" i="56" s="1"/>
  <c r="U149" i="56" s="1"/>
  <c r="V149" i="56" s="1"/>
  <c r="W149" i="56" s="1"/>
  <c r="X149" i="56" s="1"/>
  <c r="E137" i="56"/>
  <c r="F137" i="56" s="1"/>
  <c r="G137" i="56" s="1"/>
  <c r="H137" i="56" s="1"/>
  <c r="I137" i="56" s="1"/>
  <c r="J137" i="56" s="1"/>
  <c r="K137" i="56" s="1"/>
  <c r="L137" i="56" s="1"/>
  <c r="M137" i="56" s="1"/>
  <c r="N137" i="56" s="1"/>
  <c r="O137" i="56" s="1"/>
  <c r="P137" i="56" s="1"/>
  <c r="Q137" i="56" s="1"/>
  <c r="R137" i="56" s="1"/>
  <c r="S137" i="56" s="1"/>
  <c r="T137" i="56" s="1"/>
  <c r="U137" i="56" s="1"/>
  <c r="V137" i="56" s="1"/>
  <c r="W137" i="56" s="1"/>
  <c r="X137" i="56" s="1"/>
  <c r="E130" i="56"/>
  <c r="F130" i="56" s="1"/>
  <c r="G130" i="56" s="1"/>
  <c r="H130" i="56" s="1"/>
  <c r="I130" i="56" s="1"/>
  <c r="J130" i="56" s="1"/>
  <c r="K130" i="56" s="1"/>
  <c r="L130" i="56" s="1"/>
  <c r="M130" i="56" s="1"/>
  <c r="N130" i="56" s="1"/>
  <c r="O130" i="56" s="1"/>
  <c r="P130" i="56" s="1"/>
  <c r="Q130" i="56" s="1"/>
  <c r="R130" i="56" s="1"/>
  <c r="S130" i="56" s="1"/>
  <c r="T130" i="56" s="1"/>
  <c r="U130" i="56" s="1"/>
  <c r="V130" i="56" s="1"/>
  <c r="W130" i="56" s="1"/>
  <c r="X130" i="56" s="1"/>
  <c r="E123" i="56"/>
  <c r="F123" i="56" s="1"/>
  <c r="G123" i="56" s="1"/>
  <c r="H123" i="56" s="1"/>
  <c r="I123" i="56" s="1"/>
  <c r="J123" i="56" s="1"/>
  <c r="K123" i="56" s="1"/>
  <c r="L123" i="56" s="1"/>
  <c r="M123" i="56" s="1"/>
  <c r="N123" i="56" s="1"/>
  <c r="O123" i="56" s="1"/>
  <c r="P123" i="56" s="1"/>
  <c r="Q123" i="56" s="1"/>
  <c r="R123" i="56" s="1"/>
  <c r="S123" i="56" s="1"/>
  <c r="T123" i="56" s="1"/>
  <c r="U123" i="56" s="1"/>
  <c r="V123" i="56" s="1"/>
  <c r="W123" i="56" s="1"/>
  <c r="X123" i="56" s="1"/>
  <c r="E112" i="56"/>
  <c r="F112" i="56" s="1"/>
  <c r="G112" i="56" s="1"/>
  <c r="H112" i="56" s="1"/>
  <c r="I112" i="56" s="1"/>
  <c r="J112" i="56" s="1"/>
  <c r="K112" i="56" s="1"/>
  <c r="L112" i="56" s="1"/>
  <c r="M112" i="56" s="1"/>
  <c r="N112" i="56" s="1"/>
  <c r="O112" i="56" s="1"/>
  <c r="P112" i="56" s="1"/>
  <c r="Q112" i="56" s="1"/>
  <c r="R112" i="56" s="1"/>
  <c r="S112" i="56" s="1"/>
  <c r="T112" i="56" s="1"/>
  <c r="U112" i="56" s="1"/>
  <c r="V112" i="56" s="1"/>
  <c r="W112" i="56" s="1"/>
  <c r="X112" i="56" s="1"/>
  <c r="E105" i="56"/>
  <c r="F105" i="56" s="1"/>
  <c r="G105" i="56" s="1"/>
  <c r="H105" i="56" s="1"/>
  <c r="I105" i="56" s="1"/>
  <c r="J105" i="56" s="1"/>
  <c r="K105" i="56" s="1"/>
  <c r="L105" i="56" s="1"/>
  <c r="M105" i="56" s="1"/>
  <c r="N105" i="56" s="1"/>
  <c r="O105" i="56" s="1"/>
  <c r="P105" i="56" s="1"/>
  <c r="Q105" i="56" s="1"/>
  <c r="R105" i="56" s="1"/>
  <c r="S105" i="56" s="1"/>
  <c r="T105" i="56" s="1"/>
  <c r="U105" i="56" s="1"/>
  <c r="V105" i="56" s="1"/>
  <c r="W105" i="56" s="1"/>
  <c r="X105" i="56" s="1"/>
  <c r="F99" i="56"/>
  <c r="G99" i="56" s="1"/>
  <c r="H99" i="56" s="1"/>
  <c r="I99" i="56" s="1"/>
  <c r="J99" i="56" s="1"/>
  <c r="K99" i="56" s="1"/>
  <c r="L99" i="56" s="1"/>
  <c r="M99" i="56" s="1"/>
  <c r="N99" i="56" s="1"/>
  <c r="O99" i="56" s="1"/>
  <c r="P99" i="56" s="1"/>
  <c r="Q99" i="56" s="1"/>
  <c r="R99" i="56" s="1"/>
  <c r="S99" i="56" s="1"/>
  <c r="T99" i="56" s="1"/>
  <c r="U99" i="56" s="1"/>
  <c r="V99" i="56" s="1"/>
  <c r="W99" i="56" s="1"/>
  <c r="X99" i="56" s="1"/>
  <c r="E99" i="56"/>
  <c r="E93" i="56"/>
  <c r="F93" i="56" s="1"/>
  <c r="G93" i="56" s="1"/>
  <c r="H93" i="56" s="1"/>
  <c r="I93" i="56" s="1"/>
  <c r="J93" i="56" s="1"/>
  <c r="K93" i="56" s="1"/>
  <c r="L93" i="56" s="1"/>
  <c r="M93" i="56" s="1"/>
  <c r="N93" i="56" s="1"/>
  <c r="O93" i="56" s="1"/>
  <c r="P93" i="56" s="1"/>
  <c r="Q93" i="56" s="1"/>
  <c r="R93" i="56" s="1"/>
  <c r="S93" i="56" s="1"/>
  <c r="T93" i="56" s="1"/>
  <c r="U93" i="56" s="1"/>
  <c r="V93" i="56" s="1"/>
  <c r="W93" i="56" s="1"/>
  <c r="X93" i="56" s="1"/>
  <c r="E86" i="56"/>
  <c r="F86" i="56" s="1"/>
  <c r="G86" i="56" s="1"/>
  <c r="H86" i="56" s="1"/>
  <c r="I86" i="56" s="1"/>
  <c r="J86" i="56" s="1"/>
  <c r="K86" i="56" s="1"/>
  <c r="L86" i="56" s="1"/>
  <c r="M86" i="56" s="1"/>
  <c r="N86" i="56" s="1"/>
  <c r="O86" i="56" s="1"/>
  <c r="P86" i="56" s="1"/>
  <c r="Q86" i="56" s="1"/>
  <c r="R86" i="56" s="1"/>
  <c r="S86" i="56" s="1"/>
  <c r="T86" i="56" s="1"/>
  <c r="U86" i="56" s="1"/>
  <c r="V86" i="56" s="1"/>
  <c r="W86" i="56" s="1"/>
  <c r="X86" i="56" s="1"/>
  <c r="E74" i="56"/>
  <c r="F74" i="56" s="1"/>
  <c r="G74" i="56" s="1"/>
  <c r="H74" i="56" s="1"/>
  <c r="I74" i="56" s="1"/>
  <c r="J74" i="56" s="1"/>
  <c r="K74" i="56" s="1"/>
  <c r="L74" i="56" s="1"/>
  <c r="M74" i="56" s="1"/>
  <c r="N74" i="56" s="1"/>
  <c r="O74" i="56" s="1"/>
  <c r="P74" i="56" s="1"/>
  <c r="Q74" i="56" s="1"/>
  <c r="R74" i="56" s="1"/>
  <c r="S74" i="56" s="1"/>
  <c r="T74" i="56" s="1"/>
  <c r="U74" i="56" s="1"/>
  <c r="V74" i="56" s="1"/>
  <c r="W74" i="56" s="1"/>
  <c r="X74" i="56" s="1"/>
  <c r="E66" i="56"/>
  <c r="F66" i="56" s="1"/>
  <c r="G66" i="56" s="1"/>
  <c r="H66" i="56" s="1"/>
  <c r="I66" i="56" s="1"/>
  <c r="J66" i="56" s="1"/>
  <c r="K66" i="56" s="1"/>
  <c r="L66" i="56" s="1"/>
  <c r="M66" i="56" s="1"/>
  <c r="N66" i="56" s="1"/>
  <c r="O66" i="56" s="1"/>
  <c r="P66" i="56" s="1"/>
  <c r="Q66" i="56" s="1"/>
  <c r="R66" i="56" s="1"/>
  <c r="S66" i="56" s="1"/>
  <c r="T66" i="56" s="1"/>
  <c r="U66" i="56" s="1"/>
  <c r="V66" i="56" s="1"/>
  <c r="W66" i="56" s="1"/>
  <c r="X66" i="56" s="1"/>
  <c r="E58" i="56"/>
  <c r="F58" i="56" s="1"/>
  <c r="G58" i="56" s="1"/>
  <c r="H58" i="56" s="1"/>
  <c r="I58" i="56" s="1"/>
  <c r="J58" i="56" s="1"/>
  <c r="K58" i="56" s="1"/>
  <c r="L58" i="56" s="1"/>
  <c r="M58" i="56" s="1"/>
  <c r="N58" i="56" s="1"/>
  <c r="O58" i="56" s="1"/>
  <c r="P58" i="56" s="1"/>
  <c r="Q58" i="56" s="1"/>
  <c r="R58" i="56" s="1"/>
  <c r="S58" i="56" s="1"/>
  <c r="T58" i="56" s="1"/>
  <c r="U58" i="56" s="1"/>
  <c r="V58" i="56" s="1"/>
  <c r="W58" i="56" s="1"/>
  <c r="X58" i="56" s="1"/>
  <c r="E47" i="56"/>
  <c r="F47" i="56" s="1"/>
  <c r="G47" i="56" s="1"/>
  <c r="H47" i="56" s="1"/>
  <c r="I47" i="56" s="1"/>
  <c r="J47" i="56" s="1"/>
  <c r="K47" i="56" s="1"/>
  <c r="L47" i="56" s="1"/>
  <c r="M47" i="56" s="1"/>
  <c r="N47" i="56" s="1"/>
  <c r="O47" i="56" s="1"/>
  <c r="P47" i="56" s="1"/>
  <c r="Q47" i="56" s="1"/>
  <c r="R47" i="56" s="1"/>
  <c r="S47" i="56" s="1"/>
  <c r="T47" i="56" s="1"/>
  <c r="U47" i="56" s="1"/>
  <c r="V47" i="56" s="1"/>
  <c r="W47" i="56" s="1"/>
  <c r="X47" i="56" s="1"/>
  <c r="E40" i="56"/>
  <c r="F40" i="56" s="1"/>
  <c r="G40" i="56" s="1"/>
  <c r="H40" i="56" s="1"/>
  <c r="I40" i="56" s="1"/>
  <c r="J40" i="56" s="1"/>
  <c r="K40" i="56" s="1"/>
  <c r="L40" i="56" s="1"/>
  <c r="M40" i="56" s="1"/>
  <c r="N40" i="56" s="1"/>
  <c r="O40" i="56" s="1"/>
  <c r="P40" i="56" s="1"/>
  <c r="Q40" i="56" s="1"/>
  <c r="R40" i="56" s="1"/>
  <c r="S40" i="56" s="1"/>
  <c r="T40" i="56" s="1"/>
  <c r="U40" i="56" s="1"/>
  <c r="V40" i="56" s="1"/>
  <c r="W40" i="56" s="1"/>
  <c r="X40" i="56" s="1"/>
  <c r="E30" i="56"/>
  <c r="F30" i="56" s="1"/>
  <c r="G30" i="56" s="1"/>
  <c r="H30" i="56" s="1"/>
  <c r="I30" i="56" s="1"/>
  <c r="J30" i="56" s="1"/>
  <c r="K30" i="56" s="1"/>
  <c r="L30" i="56" s="1"/>
  <c r="M30" i="56" s="1"/>
  <c r="N30" i="56" s="1"/>
  <c r="O30" i="56" s="1"/>
  <c r="P30" i="56" s="1"/>
  <c r="Q30" i="56" s="1"/>
  <c r="R30" i="56" s="1"/>
  <c r="S30" i="56" s="1"/>
  <c r="T30" i="56" s="1"/>
  <c r="U30" i="56" s="1"/>
  <c r="V30" i="56" s="1"/>
  <c r="W30" i="56" s="1"/>
  <c r="X30" i="56" s="1"/>
  <c r="E23" i="56"/>
  <c r="F23" i="56" s="1"/>
  <c r="G23" i="56" s="1"/>
  <c r="H23" i="56" s="1"/>
  <c r="I23" i="56" s="1"/>
  <c r="J23" i="56" s="1"/>
  <c r="K23" i="56" s="1"/>
  <c r="L23" i="56" s="1"/>
  <c r="M23" i="56" s="1"/>
  <c r="N23" i="56" s="1"/>
  <c r="O23" i="56" s="1"/>
  <c r="P23" i="56" s="1"/>
  <c r="Q23" i="56" s="1"/>
  <c r="R23" i="56" s="1"/>
  <c r="S23" i="56" s="1"/>
  <c r="T23" i="56" s="1"/>
  <c r="U23" i="56" s="1"/>
  <c r="V23" i="56" s="1"/>
  <c r="W23" i="56" s="1"/>
  <c r="X23" i="56" s="1"/>
  <c r="E15" i="56"/>
  <c r="F15" i="56" s="1"/>
  <c r="G15" i="56" s="1"/>
  <c r="H15" i="56" s="1"/>
  <c r="I15" i="56" s="1"/>
  <c r="J15" i="56" s="1"/>
  <c r="K15" i="56" s="1"/>
  <c r="L15" i="56" s="1"/>
  <c r="M15" i="56" s="1"/>
  <c r="N15" i="56" s="1"/>
  <c r="O15" i="56" s="1"/>
  <c r="P15" i="56" s="1"/>
  <c r="Q15" i="56" s="1"/>
  <c r="R15" i="56" s="1"/>
  <c r="S15" i="56" s="1"/>
  <c r="T15" i="56" s="1"/>
  <c r="U15" i="56" s="1"/>
  <c r="V15" i="56" s="1"/>
  <c r="W15" i="56" s="1"/>
  <c r="X15" i="56" s="1"/>
  <c r="E6" i="56"/>
  <c r="F6" i="56" s="1"/>
  <c r="G6" i="56" s="1"/>
  <c r="H6" i="56" s="1"/>
  <c r="I6" i="56" s="1"/>
  <c r="J6" i="56" s="1"/>
  <c r="K6" i="56" s="1"/>
  <c r="L6" i="56" s="1"/>
  <c r="M6" i="56" s="1"/>
  <c r="N6" i="56" s="1"/>
  <c r="O6" i="56" s="1"/>
  <c r="P6" i="56" s="1"/>
  <c r="Q6" i="56" s="1"/>
  <c r="R6" i="56" s="1"/>
  <c r="S6" i="56" s="1"/>
  <c r="T6" i="56" s="1"/>
  <c r="U6" i="56" s="1"/>
  <c r="V6" i="56" s="1"/>
  <c r="W6" i="56" s="1"/>
  <c r="X6" i="56" s="1"/>
  <c r="E130" i="72"/>
  <c r="F130" i="72" s="1"/>
  <c r="G130" i="72" s="1"/>
  <c r="H130" i="72" s="1"/>
  <c r="I130" i="72" s="1"/>
  <c r="J130" i="72" s="1"/>
  <c r="K130" i="72" s="1"/>
  <c r="L130" i="72" s="1"/>
  <c r="M130" i="72" s="1"/>
  <c r="N130" i="72" s="1"/>
  <c r="O130" i="72" s="1"/>
  <c r="P130" i="72" s="1"/>
  <c r="Q130" i="72" s="1"/>
  <c r="R130" i="72" s="1"/>
  <c r="S130" i="72" s="1"/>
  <c r="T130" i="72" s="1"/>
  <c r="U130" i="72" s="1"/>
  <c r="V130" i="72" s="1"/>
  <c r="W130" i="72" s="1"/>
  <c r="X130" i="72" s="1"/>
  <c r="E123" i="72"/>
  <c r="F123" i="72" s="1"/>
  <c r="G123" i="72" s="1"/>
  <c r="H123" i="72" s="1"/>
  <c r="I123" i="72" s="1"/>
  <c r="J123" i="72" s="1"/>
  <c r="K123" i="72" s="1"/>
  <c r="L123" i="72" s="1"/>
  <c r="M123" i="72" s="1"/>
  <c r="N123" i="72" s="1"/>
  <c r="O123" i="72" s="1"/>
  <c r="P123" i="72" s="1"/>
  <c r="Q123" i="72" s="1"/>
  <c r="R123" i="72" s="1"/>
  <c r="S123" i="72" s="1"/>
  <c r="T123" i="72" s="1"/>
  <c r="U123" i="72" s="1"/>
  <c r="V123" i="72" s="1"/>
  <c r="W123" i="72" s="1"/>
  <c r="X123" i="72" s="1"/>
  <c r="E110" i="72"/>
  <c r="F110" i="72" s="1"/>
  <c r="G110" i="72" s="1"/>
  <c r="H110" i="72" s="1"/>
  <c r="I110" i="72" s="1"/>
  <c r="J110" i="72" s="1"/>
  <c r="K110" i="72" s="1"/>
  <c r="L110" i="72" s="1"/>
  <c r="M110" i="72" s="1"/>
  <c r="N110" i="72" s="1"/>
  <c r="O110" i="72" s="1"/>
  <c r="P110" i="72" s="1"/>
  <c r="Q110" i="72" s="1"/>
  <c r="R110" i="72" s="1"/>
  <c r="S110" i="72" s="1"/>
  <c r="T110" i="72" s="1"/>
  <c r="U110" i="72" s="1"/>
  <c r="V110" i="72" s="1"/>
  <c r="W110" i="72" s="1"/>
  <c r="X110" i="72" s="1"/>
  <c r="E101" i="72"/>
  <c r="F101" i="72" s="1"/>
  <c r="G101" i="72" s="1"/>
  <c r="H101" i="72" s="1"/>
  <c r="I101" i="72" s="1"/>
  <c r="J101" i="72" s="1"/>
  <c r="K101" i="72" s="1"/>
  <c r="L101" i="72" s="1"/>
  <c r="M101" i="72" s="1"/>
  <c r="N101" i="72" s="1"/>
  <c r="O101" i="72" s="1"/>
  <c r="P101" i="72" s="1"/>
  <c r="Q101" i="72" s="1"/>
  <c r="R101" i="72" s="1"/>
  <c r="S101" i="72" s="1"/>
  <c r="T101" i="72" s="1"/>
  <c r="U101" i="72" s="1"/>
  <c r="V101" i="72" s="1"/>
  <c r="W101" i="72" s="1"/>
  <c r="X101" i="72" s="1"/>
  <c r="E93" i="72"/>
  <c r="F93" i="72" s="1"/>
  <c r="G93" i="72" s="1"/>
  <c r="H93" i="72" s="1"/>
  <c r="I93" i="72" s="1"/>
  <c r="J93" i="72" s="1"/>
  <c r="K93" i="72" s="1"/>
  <c r="L93" i="72" s="1"/>
  <c r="M93" i="72" s="1"/>
  <c r="N93" i="72" s="1"/>
  <c r="O93" i="72" s="1"/>
  <c r="P93" i="72" s="1"/>
  <c r="Q93" i="72" s="1"/>
  <c r="R93" i="72" s="1"/>
  <c r="S93" i="72" s="1"/>
  <c r="T93" i="72" s="1"/>
  <c r="U93" i="72" s="1"/>
  <c r="V93" i="72" s="1"/>
  <c r="W93" i="72" s="1"/>
  <c r="X93" i="72" s="1"/>
  <c r="E84" i="72"/>
  <c r="F84" i="72" s="1"/>
  <c r="G84" i="72" s="1"/>
  <c r="H84" i="72" s="1"/>
  <c r="I84" i="72" s="1"/>
  <c r="J84" i="72" s="1"/>
  <c r="K84" i="72" s="1"/>
  <c r="L84" i="72" s="1"/>
  <c r="M84" i="72" s="1"/>
  <c r="N84" i="72" s="1"/>
  <c r="O84" i="72" s="1"/>
  <c r="P84" i="72" s="1"/>
  <c r="Q84" i="72" s="1"/>
  <c r="R84" i="72" s="1"/>
  <c r="S84" i="72" s="1"/>
  <c r="T84" i="72" s="1"/>
  <c r="U84" i="72" s="1"/>
  <c r="V84" i="72" s="1"/>
  <c r="W84" i="72" s="1"/>
  <c r="X84" i="72" s="1"/>
  <c r="E77" i="72"/>
  <c r="F77" i="72" s="1"/>
  <c r="G77" i="72" s="1"/>
  <c r="H77" i="72" s="1"/>
  <c r="I77" i="72" s="1"/>
  <c r="J77" i="72" s="1"/>
  <c r="K77" i="72" s="1"/>
  <c r="L77" i="72" s="1"/>
  <c r="M77" i="72" s="1"/>
  <c r="N77" i="72" s="1"/>
  <c r="O77" i="72" s="1"/>
  <c r="P77" i="72" s="1"/>
  <c r="Q77" i="72" s="1"/>
  <c r="R77" i="72" s="1"/>
  <c r="S77" i="72" s="1"/>
  <c r="T77" i="72" s="1"/>
  <c r="U77" i="72" s="1"/>
  <c r="V77" i="72" s="1"/>
  <c r="W77" i="72" s="1"/>
  <c r="X77" i="72" s="1"/>
  <c r="E65" i="72"/>
  <c r="F65" i="72" s="1"/>
  <c r="G65" i="72" s="1"/>
  <c r="H65" i="72" s="1"/>
  <c r="I65" i="72" s="1"/>
  <c r="J65" i="72" s="1"/>
  <c r="K65" i="72" s="1"/>
  <c r="L65" i="72" s="1"/>
  <c r="M65" i="72" s="1"/>
  <c r="N65" i="72" s="1"/>
  <c r="O65" i="72" s="1"/>
  <c r="P65" i="72" s="1"/>
  <c r="Q65" i="72" s="1"/>
  <c r="R65" i="72" s="1"/>
  <c r="S65" i="72" s="1"/>
  <c r="T65" i="72" s="1"/>
  <c r="U65" i="72" s="1"/>
  <c r="V65" i="72" s="1"/>
  <c r="W65" i="72" s="1"/>
  <c r="X65" i="72" s="1"/>
  <c r="E57" i="72"/>
  <c r="F57" i="72" s="1"/>
  <c r="G57" i="72" s="1"/>
  <c r="H57" i="72" s="1"/>
  <c r="I57" i="72" s="1"/>
  <c r="J57" i="72" s="1"/>
  <c r="K57" i="72" s="1"/>
  <c r="L57" i="72" s="1"/>
  <c r="M57" i="72" s="1"/>
  <c r="N57" i="72" s="1"/>
  <c r="O57" i="72" s="1"/>
  <c r="P57" i="72" s="1"/>
  <c r="Q57" i="72" s="1"/>
  <c r="R57" i="72" s="1"/>
  <c r="S57" i="72" s="1"/>
  <c r="T57" i="72" s="1"/>
  <c r="U57" i="72" s="1"/>
  <c r="V57" i="72" s="1"/>
  <c r="W57" i="72" s="1"/>
  <c r="X57" i="72" s="1"/>
  <c r="E46" i="72"/>
  <c r="F46" i="72" s="1"/>
  <c r="G46" i="72" s="1"/>
  <c r="H46" i="72" s="1"/>
  <c r="I46" i="72" s="1"/>
  <c r="J46" i="72" s="1"/>
  <c r="K46" i="72" s="1"/>
  <c r="L46" i="72" s="1"/>
  <c r="M46" i="72" s="1"/>
  <c r="N46" i="72" s="1"/>
  <c r="O46" i="72" s="1"/>
  <c r="P46" i="72" s="1"/>
  <c r="Q46" i="72" s="1"/>
  <c r="R46" i="72" s="1"/>
  <c r="S46" i="72" s="1"/>
  <c r="T46" i="72" s="1"/>
  <c r="U46" i="72" s="1"/>
  <c r="V46" i="72" s="1"/>
  <c r="W46" i="72" s="1"/>
  <c r="X46" i="72" s="1"/>
  <c r="E39" i="72"/>
  <c r="F39" i="72" s="1"/>
  <c r="G39" i="72" s="1"/>
  <c r="H39" i="72" s="1"/>
  <c r="I39" i="72" s="1"/>
  <c r="J39" i="72" s="1"/>
  <c r="K39" i="72" s="1"/>
  <c r="L39" i="72" s="1"/>
  <c r="M39" i="72" s="1"/>
  <c r="N39" i="72" s="1"/>
  <c r="O39" i="72" s="1"/>
  <c r="P39" i="72" s="1"/>
  <c r="Q39" i="72" s="1"/>
  <c r="R39" i="72" s="1"/>
  <c r="S39" i="72" s="1"/>
  <c r="T39" i="72" s="1"/>
  <c r="U39" i="72" s="1"/>
  <c r="V39" i="72" s="1"/>
  <c r="W39" i="72" s="1"/>
  <c r="X39" i="72" s="1"/>
  <c r="E30" i="72"/>
  <c r="F30" i="72" s="1"/>
  <c r="G30" i="72" s="1"/>
  <c r="H30" i="72" s="1"/>
  <c r="I30" i="72" s="1"/>
  <c r="J30" i="72" s="1"/>
  <c r="K30" i="72" s="1"/>
  <c r="L30" i="72" s="1"/>
  <c r="M30" i="72" s="1"/>
  <c r="N30" i="72" s="1"/>
  <c r="O30" i="72" s="1"/>
  <c r="P30" i="72" s="1"/>
  <c r="Q30" i="72" s="1"/>
  <c r="R30" i="72" s="1"/>
  <c r="S30" i="72" s="1"/>
  <c r="T30" i="72" s="1"/>
  <c r="U30" i="72" s="1"/>
  <c r="V30" i="72" s="1"/>
  <c r="W30" i="72" s="1"/>
  <c r="X30" i="72" s="1"/>
  <c r="E24" i="72"/>
  <c r="F24" i="72" s="1"/>
  <c r="G24" i="72" s="1"/>
  <c r="H24" i="72" s="1"/>
  <c r="I24" i="72" s="1"/>
  <c r="J24" i="72" s="1"/>
  <c r="K24" i="72" s="1"/>
  <c r="L24" i="72" s="1"/>
  <c r="M24" i="72" s="1"/>
  <c r="N24" i="72" s="1"/>
  <c r="O24" i="72" s="1"/>
  <c r="P24" i="72" s="1"/>
  <c r="Q24" i="72" s="1"/>
  <c r="R24" i="72" s="1"/>
  <c r="S24" i="72" s="1"/>
  <c r="T24" i="72" s="1"/>
  <c r="U24" i="72" s="1"/>
  <c r="V24" i="72" s="1"/>
  <c r="W24" i="72" s="1"/>
  <c r="X24" i="72" s="1"/>
  <c r="E15" i="72"/>
  <c r="F15" i="72" s="1"/>
  <c r="G15" i="72" s="1"/>
  <c r="H15" i="72" s="1"/>
  <c r="I15" i="72" s="1"/>
  <c r="J15" i="72" s="1"/>
  <c r="K15" i="72" s="1"/>
  <c r="L15" i="72" s="1"/>
  <c r="M15" i="72" s="1"/>
  <c r="N15" i="72" s="1"/>
  <c r="O15" i="72" s="1"/>
  <c r="P15" i="72" s="1"/>
  <c r="Q15" i="72" s="1"/>
  <c r="R15" i="72" s="1"/>
  <c r="S15" i="72" s="1"/>
  <c r="T15" i="72" s="1"/>
  <c r="U15" i="72" s="1"/>
  <c r="V15" i="72" s="1"/>
  <c r="W15" i="72" s="1"/>
  <c r="X15" i="72" s="1"/>
  <c r="F143" i="72"/>
  <c r="F144" i="72" s="1"/>
  <c r="F145" i="72" s="1"/>
  <c r="F146" i="72" s="1"/>
  <c r="F147" i="72" s="1"/>
  <c r="F148" i="72" s="1"/>
  <c r="F149" i="72" s="1"/>
  <c r="F150" i="72" s="1"/>
  <c r="F151" i="72" s="1"/>
  <c r="F152" i="72" s="1"/>
  <c r="F153" i="72" s="1"/>
  <c r="F154" i="72" s="1"/>
  <c r="F155" i="72" s="1"/>
  <c r="F156" i="72" s="1"/>
  <c r="F157" i="72" s="1"/>
  <c r="F158" i="72" s="1"/>
  <c r="F159" i="72" s="1"/>
  <c r="F160" i="72" s="1"/>
  <c r="F161" i="72" s="1"/>
  <c r="F162" i="72" s="1"/>
  <c r="G11" i="70"/>
  <c r="H11" i="70" s="1"/>
  <c r="I11" i="70" s="1"/>
  <c r="J11" i="70" s="1"/>
  <c r="K11" i="70" s="1"/>
  <c r="L11" i="70" s="1"/>
  <c r="M11" i="70" s="1"/>
  <c r="N11" i="70" s="1"/>
  <c r="O11" i="70" s="1"/>
  <c r="P11" i="70" s="1"/>
  <c r="Q11" i="70" s="1"/>
  <c r="R11" i="70" s="1"/>
  <c r="S11" i="70" s="1"/>
  <c r="T11" i="70" s="1"/>
  <c r="U11" i="70" s="1"/>
  <c r="V11" i="70" s="1"/>
  <c r="W11" i="70" s="1"/>
  <c r="X11" i="70" s="1"/>
  <c r="Y11" i="70" s="1"/>
  <c r="F11" i="70"/>
  <c r="F56" i="70"/>
  <c r="F57" i="70" s="1"/>
  <c r="F58" i="70" s="1"/>
  <c r="F59" i="70" s="1"/>
  <c r="F60" i="70" s="1"/>
  <c r="F61" i="70" s="1"/>
  <c r="F62" i="70" s="1"/>
  <c r="F63" i="70" s="1"/>
  <c r="F64" i="70" s="1"/>
  <c r="F65" i="70" s="1"/>
  <c r="F66" i="70" s="1"/>
  <c r="F67" i="70" s="1"/>
  <c r="F68" i="70" s="1"/>
  <c r="F69" i="70" s="1"/>
  <c r="F70" i="70" s="1"/>
  <c r="F71" i="70" s="1"/>
  <c r="F72" i="70" s="1"/>
  <c r="F73" i="70" s="1"/>
  <c r="F74" i="70" s="1"/>
  <c r="F55" i="70"/>
  <c r="F61" i="54"/>
  <c r="F62" i="54" s="1"/>
  <c r="F63" i="54" s="1"/>
  <c r="F64" i="54" s="1"/>
  <c r="F65" i="54" s="1"/>
  <c r="F66" i="54" s="1"/>
  <c r="F67" i="54" s="1"/>
  <c r="F68" i="54" s="1"/>
  <c r="F69" i="54" s="1"/>
  <c r="F13" i="54"/>
  <c r="G13" i="54" s="1"/>
  <c r="H13" i="54" s="1"/>
  <c r="I13" i="54" s="1"/>
  <c r="J13" i="54" s="1"/>
  <c r="K13" i="54" s="1"/>
  <c r="L13" i="54" s="1"/>
  <c r="M13" i="54" s="1"/>
  <c r="N13" i="54" s="1"/>
  <c r="O13" i="54" s="1"/>
  <c r="P13" i="54" s="1"/>
  <c r="Q13" i="54" s="1"/>
  <c r="R13" i="54" s="1"/>
  <c r="S13" i="54" s="1"/>
  <c r="T13" i="54" s="1"/>
  <c r="U13" i="54" s="1"/>
  <c r="V13" i="54" s="1"/>
  <c r="W13" i="54" s="1"/>
  <c r="X13" i="54" s="1"/>
  <c r="Y13" i="54" s="1"/>
  <c r="F54" i="62"/>
  <c r="F55" i="62" s="1"/>
  <c r="F56" i="62" s="1"/>
  <c r="F57" i="62" s="1"/>
  <c r="F58" i="62" s="1"/>
  <c r="F59" i="62" s="1"/>
  <c r="F60" i="62" s="1"/>
  <c r="F61" i="62" s="1"/>
  <c r="F62" i="62" s="1"/>
  <c r="F63" i="62" s="1"/>
  <c r="F64" i="62" s="1"/>
  <c r="F65" i="62" s="1"/>
  <c r="F66" i="62" s="1"/>
  <c r="F67" i="62" s="1"/>
  <c r="F68" i="62" s="1"/>
  <c r="F69" i="62" s="1"/>
  <c r="F70" i="62" s="1"/>
  <c r="F71" i="62" s="1"/>
  <c r="F72" i="62" s="1"/>
  <c r="F73" i="62" s="1"/>
  <c r="F11" i="62"/>
  <c r="G11" i="62" s="1"/>
  <c r="H11" i="62" s="1"/>
  <c r="I11" i="62" s="1"/>
  <c r="J11" i="62" s="1"/>
  <c r="K11" i="62" s="1"/>
  <c r="L11" i="62" s="1"/>
  <c r="M11" i="62" s="1"/>
  <c r="N11" i="62" s="1"/>
  <c r="O11" i="62" s="1"/>
  <c r="P11" i="62" s="1"/>
  <c r="Q11" i="62" s="1"/>
  <c r="R11" i="62" s="1"/>
  <c r="S11" i="62" s="1"/>
  <c r="T11" i="62" s="1"/>
  <c r="U11" i="62" s="1"/>
  <c r="V11" i="62" s="1"/>
  <c r="W11" i="62" s="1"/>
  <c r="X11" i="62" s="1"/>
  <c r="Y11" i="62" s="1"/>
  <c r="S61" i="68"/>
  <c r="R61" i="68"/>
  <c r="K20" i="68"/>
  <c r="K21" i="68"/>
  <c r="K22" i="68"/>
  <c r="K23" i="68"/>
  <c r="E24" i="28" s="1"/>
  <c r="K24" i="68"/>
  <c r="K25" i="68"/>
  <c r="K27" i="68"/>
  <c r="K28" i="68"/>
  <c r="E29" i="28" s="1"/>
  <c r="K29" i="68"/>
  <c r="K30" i="68"/>
  <c r="K31" i="68"/>
  <c r="K33" i="68"/>
  <c r="E34" i="28" s="1"/>
  <c r="K34" i="68"/>
  <c r="K35" i="68"/>
  <c r="K36" i="68"/>
  <c r="K37" i="68"/>
  <c r="E38" i="28" s="1"/>
  <c r="K38" i="68"/>
  <c r="K40" i="68"/>
  <c r="K41" i="68"/>
  <c r="K42" i="68"/>
  <c r="E43" i="28" s="1"/>
  <c r="K43" i="68"/>
  <c r="K44" i="68"/>
  <c r="K19" i="68"/>
  <c r="K45" i="68"/>
  <c r="E47" i="68"/>
  <c r="F47" i="68"/>
  <c r="K46" i="68"/>
  <c r="H44" i="68"/>
  <c r="I44" i="68" s="1"/>
  <c r="D88" i="68"/>
  <c r="G88" i="68" s="1"/>
  <c r="D89" i="68"/>
  <c r="G89" i="68" s="1"/>
  <c r="D90" i="68"/>
  <c r="G90" i="68" s="1"/>
  <c r="H19" i="68"/>
  <c r="H20" i="68"/>
  <c r="H22" i="68"/>
  <c r="H23" i="68"/>
  <c r="H24" i="68"/>
  <c r="H25" i="68"/>
  <c r="H26" i="68"/>
  <c r="H27" i="68"/>
  <c r="H28" i="68"/>
  <c r="H29" i="68"/>
  <c r="H30" i="68"/>
  <c r="H31" i="68"/>
  <c r="H33" i="68"/>
  <c r="H34" i="68"/>
  <c r="H35" i="68"/>
  <c r="H36" i="68"/>
  <c r="H37" i="68"/>
  <c r="H38" i="68"/>
  <c r="H40" i="68"/>
  <c r="H41" i="68"/>
  <c r="H42" i="68"/>
  <c r="H43" i="68"/>
  <c r="H21" i="68"/>
  <c r="X152" i="74"/>
  <c r="Y152" i="74" s="1"/>
  <c r="Z152" i="74" s="1"/>
  <c r="X144" i="74"/>
  <c r="Y144" i="74"/>
  <c r="Z144" i="74" s="1"/>
  <c r="X92" i="74"/>
  <c r="Y92" i="74" s="1"/>
  <c r="Z92" i="74" s="1"/>
  <c r="X84" i="74"/>
  <c r="Y84" i="74"/>
  <c r="Z84" i="74"/>
  <c r="X76" i="74"/>
  <c r="Y76" i="74"/>
  <c r="Z76" i="74"/>
  <c r="X68" i="74"/>
  <c r="Y68" i="74"/>
  <c r="Z68" i="74" s="1"/>
  <c r="X60" i="74"/>
  <c r="Y60" i="74" s="1"/>
  <c r="Z60" i="74" s="1"/>
  <c r="X52" i="74"/>
  <c r="Y52" i="74" s="1"/>
  <c r="Z52" i="74" s="1"/>
  <c r="X44" i="74"/>
  <c r="Y44" i="74"/>
  <c r="Z44" i="74"/>
  <c r="X36" i="74"/>
  <c r="Y36" i="74"/>
  <c r="Z36" i="74"/>
  <c r="X28" i="74"/>
  <c r="Y28" i="74" s="1"/>
  <c r="Z28" i="74" s="1"/>
  <c r="X11" i="74"/>
  <c r="Y11" i="74" s="1"/>
  <c r="Z11" i="74" s="1"/>
  <c r="E152" i="74"/>
  <c r="F152" i="74" s="1"/>
  <c r="G152" i="74" s="1"/>
  <c r="H152" i="74" s="1"/>
  <c r="I152" i="74" s="1"/>
  <c r="J152" i="74" s="1"/>
  <c r="K152" i="74" s="1"/>
  <c r="L152" i="74" s="1"/>
  <c r="M152" i="74" s="1"/>
  <c r="N152" i="74" s="1"/>
  <c r="O152" i="74" s="1"/>
  <c r="P152" i="74" s="1"/>
  <c r="Q152" i="74" s="1"/>
  <c r="R152" i="74" s="1"/>
  <c r="S152" i="74" s="1"/>
  <c r="T152" i="74" s="1"/>
  <c r="U152" i="74" s="1"/>
  <c r="V152" i="74" s="1"/>
  <c r="W152" i="74" s="1"/>
  <c r="D152" i="74"/>
  <c r="D144" i="74"/>
  <c r="E144" i="74" s="1"/>
  <c r="F144" i="74" s="1"/>
  <c r="G144" i="74" s="1"/>
  <c r="H144" i="74" s="1"/>
  <c r="I144" i="74" s="1"/>
  <c r="J144" i="74" s="1"/>
  <c r="K144" i="74" s="1"/>
  <c r="L144" i="74" s="1"/>
  <c r="M144" i="74" s="1"/>
  <c r="N144" i="74" s="1"/>
  <c r="O144" i="74" s="1"/>
  <c r="P144" i="74" s="1"/>
  <c r="Q144" i="74" s="1"/>
  <c r="R144" i="74" s="1"/>
  <c r="S144" i="74" s="1"/>
  <c r="T144" i="74" s="1"/>
  <c r="U144" i="74" s="1"/>
  <c r="V144" i="74" s="1"/>
  <c r="W144" i="74" s="1"/>
  <c r="D92" i="74"/>
  <c r="E92" i="74" s="1"/>
  <c r="F92" i="74" s="1"/>
  <c r="G92" i="74" s="1"/>
  <c r="H92" i="74" s="1"/>
  <c r="I92" i="74" s="1"/>
  <c r="J92" i="74" s="1"/>
  <c r="K92" i="74" s="1"/>
  <c r="L92" i="74" s="1"/>
  <c r="M92" i="74" s="1"/>
  <c r="N92" i="74" s="1"/>
  <c r="O92" i="74" s="1"/>
  <c r="P92" i="74" s="1"/>
  <c r="Q92" i="74" s="1"/>
  <c r="R92" i="74" s="1"/>
  <c r="S92" i="74" s="1"/>
  <c r="T92" i="74" s="1"/>
  <c r="U92" i="74" s="1"/>
  <c r="V92" i="74" s="1"/>
  <c r="W92" i="74" s="1"/>
  <c r="D84" i="74"/>
  <c r="E84" i="74" s="1"/>
  <c r="F84" i="74" s="1"/>
  <c r="G84" i="74" s="1"/>
  <c r="H84" i="74" s="1"/>
  <c r="I84" i="74" s="1"/>
  <c r="J84" i="74" s="1"/>
  <c r="K84" i="74" s="1"/>
  <c r="L84" i="74" s="1"/>
  <c r="M84" i="74" s="1"/>
  <c r="N84" i="74" s="1"/>
  <c r="O84" i="74" s="1"/>
  <c r="P84" i="74" s="1"/>
  <c r="Q84" i="74" s="1"/>
  <c r="R84" i="74" s="1"/>
  <c r="S84" i="74" s="1"/>
  <c r="T84" i="74" s="1"/>
  <c r="U84" i="74" s="1"/>
  <c r="V84" i="74" s="1"/>
  <c r="W84" i="74" s="1"/>
  <c r="D76" i="74"/>
  <c r="E76" i="74" s="1"/>
  <c r="F76" i="74" s="1"/>
  <c r="G76" i="74" s="1"/>
  <c r="H76" i="74" s="1"/>
  <c r="I76" i="74" s="1"/>
  <c r="J76" i="74" s="1"/>
  <c r="K76" i="74" s="1"/>
  <c r="L76" i="74" s="1"/>
  <c r="M76" i="74" s="1"/>
  <c r="N76" i="74" s="1"/>
  <c r="O76" i="74" s="1"/>
  <c r="P76" i="74" s="1"/>
  <c r="Q76" i="74" s="1"/>
  <c r="R76" i="74" s="1"/>
  <c r="S76" i="74" s="1"/>
  <c r="T76" i="74" s="1"/>
  <c r="U76" i="74" s="1"/>
  <c r="V76" i="74" s="1"/>
  <c r="W76" i="74" s="1"/>
  <c r="D68" i="74"/>
  <c r="E68" i="74" s="1"/>
  <c r="F68" i="74" s="1"/>
  <c r="G68" i="74" s="1"/>
  <c r="H68" i="74" s="1"/>
  <c r="I68" i="74" s="1"/>
  <c r="J68" i="74" s="1"/>
  <c r="K68" i="74" s="1"/>
  <c r="L68" i="74" s="1"/>
  <c r="M68" i="74" s="1"/>
  <c r="N68" i="74" s="1"/>
  <c r="O68" i="74" s="1"/>
  <c r="P68" i="74" s="1"/>
  <c r="Q68" i="74" s="1"/>
  <c r="R68" i="74" s="1"/>
  <c r="S68" i="74" s="1"/>
  <c r="T68" i="74" s="1"/>
  <c r="U68" i="74" s="1"/>
  <c r="V68" i="74" s="1"/>
  <c r="W68" i="74" s="1"/>
  <c r="D60" i="74"/>
  <c r="E60" i="74" s="1"/>
  <c r="F60" i="74" s="1"/>
  <c r="G60" i="74" s="1"/>
  <c r="H60" i="74" s="1"/>
  <c r="I60" i="74" s="1"/>
  <c r="J60" i="74" s="1"/>
  <c r="K60" i="74" s="1"/>
  <c r="L60" i="74" s="1"/>
  <c r="M60" i="74" s="1"/>
  <c r="N60" i="74" s="1"/>
  <c r="O60" i="74" s="1"/>
  <c r="P60" i="74" s="1"/>
  <c r="Q60" i="74" s="1"/>
  <c r="R60" i="74" s="1"/>
  <c r="S60" i="74" s="1"/>
  <c r="T60" i="74" s="1"/>
  <c r="U60" i="74" s="1"/>
  <c r="V60" i="74" s="1"/>
  <c r="W60" i="74" s="1"/>
  <c r="D52" i="74"/>
  <c r="E52" i="74" s="1"/>
  <c r="F52" i="74" s="1"/>
  <c r="G52" i="74" s="1"/>
  <c r="H52" i="74" s="1"/>
  <c r="I52" i="74" s="1"/>
  <c r="J52" i="74" s="1"/>
  <c r="K52" i="74" s="1"/>
  <c r="L52" i="74" s="1"/>
  <c r="M52" i="74" s="1"/>
  <c r="N52" i="74" s="1"/>
  <c r="O52" i="74" s="1"/>
  <c r="P52" i="74" s="1"/>
  <c r="Q52" i="74" s="1"/>
  <c r="R52" i="74" s="1"/>
  <c r="S52" i="74" s="1"/>
  <c r="T52" i="74" s="1"/>
  <c r="U52" i="74" s="1"/>
  <c r="V52" i="74" s="1"/>
  <c r="W52" i="74" s="1"/>
  <c r="D44" i="74"/>
  <c r="E44" i="74" s="1"/>
  <c r="F44" i="74" s="1"/>
  <c r="G44" i="74" s="1"/>
  <c r="H44" i="74" s="1"/>
  <c r="I44" i="74" s="1"/>
  <c r="J44" i="74" s="1"/>
  <c r="K44" i="74" s="1"/>
  <c r="L44" i="74" s="1"/>
  <c r="M44" i="74" s="1"/>
  <c r="N44" i="74" s="1"/>
  <c r="O44" i="74" s="1"/>
  <c r="P44" i="74" s="1"/>
  <c r="Q44" i="74" s="1"/>
  <c r="R44" i="74" s="1"/>
  <c r="S44" i="74" s="1"/>
  <c r="T44" i="74" s="1"/>
  <c r="U44" i="74" s="1"/>
  <c r="V44" i="74" s="1"/>
  <c r="W44" i="74" s="1"/>
  <c r="D36" i="74"/>
  <c r="E36" i="74" s="1"/>
  <c r="F36" i="74" s="1"/>
  <c r="G36" i="74" s="1"/>
  <c r="H36" i="74" s="1"/>
  <c r="I36" i="74" s="1"/>
  <c r="J36" i="74" s="1"/>
  <c r="K36" i="74" s="1"/>
  <c r="L36" i="74" s="1"/>
  <c r="M36" i="74" s="1"/>
  <c r="N36" i="74" s="1"/>
  <c r="O36" i="74" s="1"/>
  <c r="P36" i="74" s="1"/>
  <c r="Q36" i="74" s="1"/>
  <c r="R36" i="74" s="1"/>
  <c r="S36" i="74" s="1"/>
  <c r="T36" i="74" s="1"/>
  <c r="U36" i="74" s="1"/>
  <c r="V36" i="74" s="1"/>
  <c r="W36" i="74" s="1"/>
  <c r="D28" i="74"/>
  <c r="E28" i="74" s="1"/>
  <c r="F28" i="74" s="1"/>
  <c r="G28" i="74" s="1"/>
  <c r="H28" i="74" s="1"/>
  <c r="I28" i="74" s="1"/>
  <c r="J28" i="74" s="1"/>
  <c r="K28" i="74" s="1"/>
  <c r="L28" i="74" s="1"/>
  <c r="M28" i="74" s="1"/>
  <c r="N28" i="74" s="1"/>
  <c r="O28" i="74" s="1"/>
  <c r="P28" i="74" s="1"/>
  <c r="Q28" i="74" s="1"/>
  <c r="R28" i="74" s="1"/>
  <c r="S28" i="74" s="1"/>
  <c r="T28" i="74" s="1"/>
  <c r="U28" i="74" s="1"/>
  <c r="V28" i="74" s="1"/>
  <c r="W28" i="74" s="1"/>
  <c r="D19" i="74"/>
  <c r="E19" i="74" s="1"/>
  <c r="F19" i="74" s="1"/>
  <c r="G19" i="74" s="1"/>
  <c r="H19" i="74" s="1"/>
  <c r="I19" i="74" s="1"/>
  <c r="J19" i="74" s="1"/>
  <c r="K19" i="74" s="1"/>
  <c r="L19" i="74" s="1"/>
  <c r="M19" i="74" s="1"/>
  <c r="N19" i="74" s="1"/>
  <c r="O19" i="74" s="1"/>
  <c r="P19" i="74" s="1"/>
  <c r="Q19" i="74" s="1"/>
  <c r="R19" i="74" s="1"/>
  <c r="S19" i="74" s="1"/>
  <c r="T19" i="74" s="1"/>
  <c r="U19" i="74" s="1"/>
  <c r="V19" i="74" s="1"/>
  <c r="W19" i="74" s="1"/>
  <c r="X19" i="74" s="1"/>
  <c r="Y19" i="74" s="1"/>
  <c r="Z19" i="74" s="1"/>
  <c r="D11" i="74"/>
  <c r="E11" i="74" s="1"/>
  <c r="F11" i="74" s="1"/>
  <c r="G11" i="74" s="1"/>
  <c r="H11" i="74" s="1"/>
  <c r="I11" i="74" s="1"/>
  <c r="J11" i="74" s="1"/>
  <c r="K11" i="74" s="1"/>
  <c r="L11" i="74" s="1"/>
  <c r="M11" i="74" s="1"/>
  <c r="N11" i="74" s="1"/>
  <c r="O11" i="74" s="1"/>
  <c r="P11" i="74" s="1"/>
  <c r="Q11" i="74" s="1"/>
  <c r="R11" i="74" s="1"/>
  <c r="S11" i="74" s="1"/>
  <c r="T11" i="74" s="1"/>
  <c r="U11" i="74" s="1"/>
  <c r="V11" i="74" s="1"/>
  <c r="W11" i="74" s="1"/>
  <c r="E3" i="74"/>
  <c r="F3" i="74"/>
  <c r="G3" i="74"/>
  <c r="H3" i="74"/>
  <c r="I3" i="74" s="1"/>
  <c r="J3" i="74" s="1"/>
  <c r="K3" i="74" s="1"/>
  <c r="L3" i="74" s="1"/>
  <c r="M3" i="74" s="1"/>
  <c r="N3" i="74" s="1"/>
  <c r="O3" i="74" s="1"/>
  <c r="P3" i="74" s="1"/>
  <c r="Q3" i="74" s="1"/>
  <c r="R3" i="74" s="1"/>
  <c r="S3" i="74" s="1"/>
  <c r="T3" i="74" s="1"/>
  <c r="U3" i="74" s="1"/>
  <c r="V3" i="74" s="1"/>
  <c r="W3" i="74" s="1"/>
  <c r="X3" i="74" s="1"/>
  <c r="Y3" i="74" s="1"/>
  <c r="Z3" i="74" s="1"/>
  <c r="D3" i="74"/>
  <c r="F26" i="84" l="1"/>
  <c r="G13" i="84"/>
  <c r="H11" i="84"/>
  <c r="E88" i="68"/>
  <c r="C45" i="28" s="1"/>
  <c r="I20" i="68"/>
  <c r="E64" i="68"/>
  <c r="I64" i="68" s="1"/>
  <c r="K64" i="68" s="1"/>
  <c r="I19" i="68"/>
  <c r="E63" i="68"/>
  <c r="R64" i="68"/>
  <c r="S64" i="68" s="1"/>
  <c r="R63" i="68"/>
  <c r="S63" i="68" s="1"/>
  <c r="J88" i="68"/>
  <c r="H89" i="68"/>
  <c r="B47" i="28"/>
  <c r="B45" i="28"/>
  <c r="B46" i="28"/>
  <c r="I88" i="68"/>
  <c r="K88" i="68" s="1"/>
  <c r="E44" i="28"/>
  <c r="R87" i="68"/>
  <c r="S87" i="68" s="1"/>
  <c r="E39" i="28"/>
  <c r="R82" i="68"/>
  <c r="S82" i="68" s="1"/>
  <c r="E35" i="28"/>
  <c r="R78" i="68"/>
  <c r="S78" i="68" s="1"/>
  <c r="E30" i="28"/>
  <c r="R73" i="68"/>
  <c r="S73" i="68" s="1"/>
  <c r="E25" i="28"/>
  <c r="R68" i="68"/>
  <c r="S68" i="68" s="1"/>
  <c r="E42" i="28"/>
  <c r="R85" i="68"/>
  <c r="S85" i="68" s="1"/>
  <c r="E37" i="28"/>
  <c r="R80" i="68"/>
  <c r="S80" i="68" s="1"/>
  <c r="E32" i="28"/>
  <c r="R75" i="68"/>
  <c r="S75" i="68" s="1"/>
  <c r="E28" i="28"/>
  <c r="R71" i="68"/>
  <c r="S71" i="68" s="1"/>
  <c r="E23" i="28"/>
  <c r="R66" i="68"/>
  <c r="S66" i="68" s="1"/>
  <c r="E45" i="28"/>
  <c r="R88" i="68"/>
  <c r="S88" i="68" s="1"/>
  <c r="E41" i="28"/>
  <c r="R84" i="68"/>
  <c r="S84" i="68" s="1"/>
  <c r="E36" i="28"/>
  <c r="R79" i="68"/>
  <c r="S79" i="68" s="1"/>
  <c r="E31" i="28"/>
  <c r="R74" i="68"/>
  <c r="S74" i="68" s="1"/>
  <c r="E26" i="28"/>
  <c r="R69" i="68"/>
  <c r="E22" i="28"/>
  <c r="R65" i="68"/>
  <c r="R86" i="68"/>
  <c r="S86" i="68" s="1"/>
  <c r="R81" i="68"/>
  <c r="S81" i="68" s="1"/>
  <c r="R77" i="68"/>
  <c r="S77" i="68" s="1"/>
  <c r="R72" i="68"/>
  <c r="S72" i="68" s="1"/>
  <c r="R67" i="68"/>
  <c r="S67" i="68" s="1"/>
  <c r="F70" i="54"/>
  <c r="F71" i="54" s="1"/>
  <c r="F72" i="54" s="1"/>
  <c r="F73" i="54" s="1"/>
  <c r="F74" i="54" s="1"/>
  <c r="F75" i="54" s="1"/>
  <c r="E47" i="28"/>
  <c r="R90" i="68"/>
  <c r="S90" i="68" s="1"/>
  <c r="E46" i="28"/>
  <c r="R89" i="68"/>
  <c r="S89" i="68" s="1"/>
  <c r="O83" i="56"/>
  <c r="K83" i="56"/>
  <c r="W83" i="56"/>
  <c r="G83" i="56"/>
  <c r="V83" i="56"/>
  <c r="R83" i="56"/>
  <c r="N83" i="56"/>
  <c r="J83" i="56"/>
  <c r="F83" i="56"/>
  <c r="U83" i="56"/>
  <c r="Q83" i="56"/>
  <c r="M83" i="56"/>
  <c r="I83" i="56"/>
  <c r="E83" i="56"/>
  <c r="X83" i="56"/>
  <c r="T83" i="56"/>
  <c r="P83" i="56"/>
  <c r="L83" i="56"/>
  <c r="H83" i="56"/>
  <c r="H90" i="68"/>
  <c r="H88" i="68"/>
  <c r="L88" i="68" s="1"/>
  <c r="G31" i="84" l="1"/>
  <c r="G33" i="84" s="1"/>
  <c r="G24" i="84"/>
  <c r="G26" i="84" s="1"/>
  <c r="I11" i="84"/>
  <c r="D45" i="28"/>
  <c r="I63" i="68"/>
  <c r="S69" i="68"/>
  <c r="S65" i="68"/>
  <c r="F76" i="54"/>
  <c r="F77" i="54" s="1"/>
  <c r="F78" i="54" s="1"/>
  <c r="F79" i="54" s="1"/>
  <c r="F80" i="54" s="1"/>
  <c r="H13" i="84" l="1"/>
  <c r="J11" i="84"/>
  <c r="K63" i="68"/>
  <c r="H31" i="84" l="1"/>
  <c r="H33" i="84" s="1"/>
  <c r="H24" i="84"/>
  <c r="K11" i="84"/>
  <c r="N83" i="83"/>
  <c r="M83" i="83"/>
  <c r="L83" i="83"/>
  <c r="N82" i="83"/>
  <c r="M82" i="83"/>
  <c r="L82" i="83"/>
  <c r="N81" i="83"/>
  <c r="M81" i="83"/>
  <c r="L81" i="83"/>
  <c r="AQ80" i="83"/>
  <c r="AR80" i="83" s="1"/>
  <c r="AS80" i="83" s="1"/>
  <c r="AT80" i="83" s="1"/>
  <c r="AU80" i="83" s="1"/>
  <c r="AV80" i="83" s="1"/>
  <c r="AW80" i="83" s="1"/>
  <c r="AX80" i="83" s="1"/>
  <c r="AY80" i="83" s="1"/>
  <c r="AZ80" i="83" s="1"/>
  <c r="BA80" i="83" s="1"/>
  <c r="BB80" i="83" s="1"/>
  <c r="BC80" i="83" s="1"/>
  <c r="BD80" i="83" s="1"/>
  <c r="BE80" i="83" s="1"/>
  <c r="BF80" i="83" s="1"/>
  <c r="BG80" i="83" s="1"/>
  <c r="BH80" i="83" s="1"/>
  <c r="BI80" i="83" s="1"/>
  <c r="BJ80" i="83" s="1"/>
  <c r="BK80" i="83" s="1"/>
  <c r="U80" i="83"/>
  <c r="V80" i="83" s="1"/>
  <c r="W80" i="83" s="1"/>
  <c r="X80" i="83" s="1"/>
  <c r="Y80" i="83" s="1"/>
  <c r="Z80" i="83" s="1"/>
  <c r="AA80" i="83" s="1"/>
  <c r="AB80" i="83" s="1"/>
  <c r="AC80" i="83" s="1"/>
  <c r="AD80" i="83" s="1"/>
  <c r="AE80" i="83" s="1"/>
  <c r="AF80" i="83" s="1"/>
  <c r="AG80" i="83" s="1"/>
  <c r="AH80" i="83" s="1"/>
  <c r="AI80" i="83" s="1"/>
  <c r="AJ80" i="83" s="1"/>
  <c r="AK80" i="83" s="1"/>
  <c r="AL80" i="83" s="1"/>
  <c r="AM80" i="83" s="1"/>
  <c r="AN80" i="83" s="1"/>
  <c r="AO80" i="83" s="1"/>
  <c r="N75" i="83"/>
  <c r="M75" i="83"/>
  <c r="L75" i="83"/>
  <c r="AR72" i="83"/>
  <c r="AS72" i="83" s="1"/>
  <c r="AT72" i="83" s="1"/>
  <c r="AU72" i="83" s="1"/>
  <c r="AV72" i="83" s="1"/>
  <c r="AW72" i="83" s="1"/>
  <c r="AX72" i="83" s="1"/>
  <c r="AY72" i="83" s="1"/>
  <c r="AZ72" i="83" s="1"/>
  <c r="BA72" i="83" s="1"/>
  <c r="BB72" i="83" s="1"/>
  <c r="BC72" i="83" s="1"/>
  <c r="BD72" i="83" s="1"/>
  <c r="BE72" i="83" s="1"/>
  <c r="BF72" i="83" s="1"/>
  <c r="BG72" i="83" s="1"/>
  <c r="BH72" i="83" s="1"/>
  <c r="BI72" i="83" s="1"/>
  <c r="BJ72" i="83" s="1"/>
  <c r="BK72" i="83" s="1"/>
  <c r="AQ72" i="83"/>
  <c r="U72" i="83"/>
  <c r="V72" i="83" s="1"/>
  <c r="W72" i="83" s="1"/>
  <c r="X72" i="83" s="1"/>
  <c r="Y72" i="83" s="1"/>
  <c r="Z72" i="83" s="1"/>
  <c r="AA72" i="83" s="1"/>
  <c r="AB72" i="83" s="1"/>
  <c r="AC72" i="83" s="1"/>
  <c r="AD72" i="83" s="1"/>
  <c r="AE72" i="83" s="1"/>
  <c r="AF72" i="83" s="1"/>
  <c r="AG72" i="83" s="1"/>
  <c r="AH72" i="83" s="1"/>
  <c r="AI72" i="83" s="1"/>
  <c r="AJ72" i="83" s="1"/>
  <c r="AK72" i="83" s="1"/>
  <c r="AL72" i="83" s="1"/>
  <c r="AM72" i="83" s="1"/>
  <c r="AN72" i="83" s="1"/>
  <c r="AO72" i="83" s="1"/>
  <c r="AQ64" i="83"/>
  <c r="AR64" i="83" s="1"/>
  <c r="AS64" i="83" s="1"/>
  <c r="AT64" i="83" s="1"/>
  <c r="AU64" i="83" s="1"/>
  <c r="AV64" i="83" s="1"/>
  <c r="AW64" i="83" s="1"/>
  <c r="AX64" i="83" s="1"/>
  <c r="AY64" i="83" s="1"/>
  <c r="AZ64" i="83" s="1"/>
  <c r="BA64" i="83" s="1"/>
  <c r="BB64" i="83" s="1"/>
  <c r="BC64" i="83" s="1"/>
  <c r="BD64" i="83" s="1"/>
  <c r="BE64" i="83" s="1"/>
  <c r="BF64" i="83" s="1"/>
  <c r="BG64" i="83" s="1"/>
  <c r="BH64" i="83" s="1"/>
  <c r="BI64" i="83" s="1"/>
  <c r="BJ64" i="83" s="1"/>
  <c r="BK64" i="83" s="1"/>
  <c r="U64" i="83"/>
  <c r="V64" i="83" s="1"/>
  <c r="W64" i="83" s="1"/>
  <c r="X64" i="83" s="1"/>
  <c r="Y64" i="83" s="1"/>
  <c r="Z64" i="83" s="1"/>
  <c r="AA64" i="83" s="1"/>
  <c r="AB64" i="83" s="1"/>
  <c r="AC64" i="83" s="1"/>
  <c r="AD64" i="83" s="1"/>
  <c r="AE64" i="83" s="1"/>
  <c r="AQ54" i="83"/>
  <c r="AR54" i="83" s="1"/>
  <c r="AS54" i="83" s="1"/>
  <c r="AT54" i="83" s="1"/>
  <c r="AU54" i="83" s="1"/>
  <c r="AV54" i="83" s="1"/>
  <c r="AW54" i="83" s="1"/>
  <c r="AX54" i="83" s="1"/>
  <c r="AY54" i="83" s="1"/>
  <c r="AZ54" i="83" s="1"/>
  <c r="BA54" i="83" s="1"/>
  <c r="BB54" i="83" s="1"/>
  <c r="BC54" i="83" s="1"/>
  <c r="BD54" i="83" s="1"/>
  <c r="BE54" i="83" s="1"/>
  <c r="BF54" i="83" s="1"/>
  <c r="BG54" i="83" s="1"/>
  <c r="BH54" i="83" s="1"/>
  <c r="BI54" i="83" s="1"/>
  <c r="BJ54" i="83" s="1"/>
  <c r="BK54" i="83" s="1"/>
  <c r="U52" i="83"/>
  <c r="V52" i="83" s="1"/>
  <c r="W52" i="83" s="1"/>
  <c r="X52" i="83" s="1"/>
  <c r="Y52" i="83" s="1"/>
  <c r="Z52" i="83" s="1"/>
  <c r="AA52" i="83" s="1"/>
  <c r="AB52" i="83" s="1"/>
  <c r="AC52" i="83" s="1"/>
  <c r="AD52" i="83" s="1"/>
  <c r="AE52" i="83" s="1"/>
  <c r="AF52" i="83" s="1"/>
  <c r="AG52" i="83" s="1"/>
  <c r="AH52" i="83" s="1"/>
  <c r="AI52" i="83" s="1"/>
  <c r="AJ52" i="83" s="1"/>
  <c r="AK52" i="83" s="1"/>
  <c r="AL52" i="83" s="1"/>
  <c r="AM52" i="83" s="1"/>
  <c r="AN52" i="83" s="1"/>
  <c r="AO52" i="83" s="1"/>
  <c r="AQ47" i="83"/>
  <c r="AR47" i="83" s="1"/>
  <c r="AS47" i="83" s="1"/>
  <c r="AT47" i="83" s="1"/>
  <c r="AU47" i="83" s="1"/>
  <c r="AV47" i="83" s="1"/>
  <c r="AW47" i="83" s="1"/>
  <c r="AX47" i="83" s="1"/>
  <c r="AY47" i="83" s="1"/>
  <c r="AZ47" i="83" s="1"/>
  <c r="BA47" i="83" s="1"/>
  <c r="BB47" i="83" s="1"/>
  <c r="BC47" i="83" s="1"/>
  <c r="BD47" i="83" s="1"/>
  <c r="BE47" i="83" s="1"/>
  <c r="BF47" i="83" s="1"/>
  <c r="BG47" i="83" s="1"/>
  <c r="BH47" i="83" s="1"/>
  <c r="BI47" i="83" s="1"/>
  <c r="BJ47" i="83" s="1"/>
  <c r="BK47" i="83" s="1"/>
  <c r="AQ40" i="83"/>
  <c r="AR40" i="83" s="1"/>
  <c r="AS40" i="83" s="1"/>
  <c r="AT40" i="83" s="1"/>
  <c r="AU40" i="83" s="1"/>
  <c r="AV40" i="83" s="1"/>
  <c r="AW40" i="83" s="1"/>
  <c r="AX40" i="83" s="1"/>
  <c r="AY40" i="83" s="1"/>
  <c r="AZ40" i="83" s="1"/>
  <c r="BA40" i="83" s="1"/>
  <c r="BB40" i="83" s="1"/>
  <c r="BC40" i="83" s="1"/>
  <c r="BD40" i="83" s="1"/>
  <c r="BE40" i="83" s="1"/>
  <c r="BF40" i="83" s="1"/>
  <c r="BG40" i="83" s="1"/>
  <c r="BH40" i="83" s="1"/>
  <c r="BI40" i="83" s="1"/>
  <c r="BJ40" i="83" s="1"/>
  <c r="BK40" i="83" s="1"/>
  <c r="U40" i="83"/>
  <c r="V40" i="83" s="1"/>
  <c r="W40" i="83" s="1"/>
  <c r="X40" i="83" s="1"/>
  <c r="Y40" i="83" s="1"/>
  <c r="Z40" i="83" s="1"/>
  <c r="AA40" i="83" s="1"/>
  <c r="AB40" i="83" s="1"/>
  <c r="AC40" i="83" s="1"/>
  <c r="AD40" i="83" s="1"/>
  <c r="AE40" i="83" s="1"/>
  <c r="AF40" i="83" s="1"/>
  <c r="AG40" i="83" s="1"/>
  <c r="AH40" i="83" s="1"/>
  <c r="AI40" i="83" s="1"/>
  <c r="AJ40" i="83" s="1"/>
  <c r="AK40" i="83" s="1"/>
  <c r="AL40" i="83" s="1"/>
  <c r="AM40" i="83" s="1"/>
  <c r="AN40" i="83" s="1"/>
  <c r="AO40" i="83" s="1"/>
  <c r="U25" i="83"/>
  <c r="V25" i="83" s="1"/>
  <c r="W25" i="83" s="1"/>
  <c r="X25" i="83" s="1"/>
  <c r="Y25" i="83" s="1"/>
  <c r="Z25" i="83" s="1"/>
  <c r="AA25" i="83" s="1"/>
  <c r="AB25" i="83" s="1"/>
  <c r="AC25" i="83" s="1"/>
  <c r="AD25" i="83" s="1"/>
  <c r="AE25" i="83" s="1"/>
  <c r="AF25" i="83" s="1"/>
  <c r="AG25" i="83" s="1"/>
  <c r="AH25" i="83" s="1"/>
  <c r="AI25" i="83" s="1"/>
  <c r="AJ25" i="83" s="1"/>
  <c r="AK25" i="83" s="1"/>
  <c r="AL25" i="83" s="1"/>
  <c r="AM25" i="83" s="1"/>
  <c r="AN25" i="83" s="1"/>
  <c r="AO25" i="83" s="1"/>
  <c r="AQ19" i="83"/>
  <c r="AR19" i="83" s="1"/>
  <c r="AS19" i="83" s="1"/>
  <c r="AT19" i="83" s="1"/>
  <c r="AU19" i="83" s="1"/>
  <c r="AV19" i="83" s="1"/>
  <c r="AW19" i="83" s="1"/>
  <c r="AX19" i="83" s="1"/>
  <c r="AY19" i="83" s="1"/>
  <c r="AZ19" i="83" s="1"/>
  <c r="BA19" i="83" s="1"/>
  <c r="BB19" i="83" s="1"/>
  <c r="BC19" i="83" s="1"/>
  <c r="BD19" i="83" s="1"/>
  <c r="BE19" i="83" s="1"/>
  <c r="BF19" i="83" s="1"/>
  <c r="BG19" i="83" s="1"/>
  <c r="BH19" i="83" s="1"/>
  <c r="BI19" i="83" s="1"/>
  <c r="BJ19" i="83" s="1"/>
  <c r="BK19" i="83" s="1"/>
  <c r="N74" i="83"/>
  <c r="M74" i="83"/>
  <c r="L74" i="83"/>
  <c r="N73" i="83"/>
  <c r="M73" i="83"/>
  <c r="L73" i="83"/>
  <c r="U15" i="83"/>
  <c r="V15" i="83" s="1"/>
  <c r="W15" i="83" s="1"/>
  <c r="X15" i="83" s="1"/>
  <c r="Y15" i="83" s="1"/>
  <c r="Z15" i="83" s="1"/>
  <c r="AA15" i="83" s="1"/>
  <c r="AB15" i="83" s="1"/>
  <c r="AC15" i="83" s="1"/>
  <c r="AD15" i="83" s="1"/>
  <c r="AE15" i="83" s="1"/>
  <c r="AF15" i="83" s="1"/>
  <c r="AG15" i="83" s="1"/>
  <c r="AH15" i="83" s="1"/>
  <c r="AI15" i="83" s="1"/>
  <c r="AJ15" i="83" s="1"/>
  <c r="AK15" i="83" s="1"/>
  <c r="AL15" i="83" s="1"/>
  <c r="AM15" i="83" s="1"/>
  <c r="AN15" i="83" s="1"/>
  <c r="AO15" i="83" s="1"/>
  <c r="AQ12" i="83"/>
  <c r="AR12" i="83" s="1"/>
  <c r="AS12" i="83" s="1"/>
  <c r="AT12" i="83" s="1"/>
  <c r="AU12" i="83" s="1"/>
  <c r="AV12" i="83" s="1"/>
  <c r="AW12" i="83" s="1"/>
  <c r="AX12" i="83" s="1"/>
  <c r="AY12" i="83" s="1"/>
  <c r="AZ12" i="83" s="1"/>
  <c r="BA12" i="83" s="1"/>
  <c r="BB12" i="83" s="1"/>
  <c r="BC12" i="83" s="1"/>
  <c r="BD12" i="83" s="1"/>
  <c r="BE12" i="83" s="1"/>
  <c r="BF12" i="83" s="1"/>
  <c r="BG12" i="83" s="1"/>
  <c r="BH12" i="83" s="1"/>
  <c r="BI12" i="83" s="1"/>
  <c r="BJ12" i="83" s="1"/>
  <c r="BK12" i="83" s="1"/>
  <c r="N67" i="83"/>
  <c r="M67" i="83"/>
  <c r="L67" i="83"/>
  <c r="N66" i="83"/>
  <c r="M66" i="83"/>
  <c r="L66" i="83"/>
  <c r="N65" i="83"/>
  <c r="M65" i="83"/>
  <c r="L65" i="83"/>
  <c r="AQ5" i="83"/>
  <c r="AR5" i="83" s="1"/>
  <c r="AS5" i="83" s="1"/>
  <c r="AT5" i="83" s="1"/>
  <c r="AU5" i="83" s="1"/>
  <c r="AV5" i="83" s="1"/>
  <c r="AW5" i="83" s="1"/>
  <c r="AX5" i="83" s="1"/>
  <c r="AY5" i="83" s="1"/>
  <c r="AZ5" i="83" s="1"/>
  <c r="BA5" i="83" s="1"/>
  <c r="BB5" i="83" s="1"/>
  <c r="BC5" i="83" s="1"/>
  <c r="BD5" i="83" s="1"/>
  <c r="BE5" i="83" s="1"/>
  <c r="BF5" i="83" s="1"/>
  <c r="BG5" i="83" s="1"/>
  <c r="BH5" i="83" s="1"/>
  <c r="BI5" i="83" s="1"/>
  <c r="BJ5" i="83" s="1"/>
  <c r="BK5" i="83" s="1"/>
  <c r="U5" i="83"/>
  <c r="V5" i="83" s="1"/>
  <c r="W5" i="83" s="1"/>
  <c r="X5" i="83" s="1"/>
  <c r="Y5" i="83" s="1"/>
  <c r="Z5" i="83" s="1"/>
  <c r="AA5" i="83" s="1"/>
  <c r="G20" i="80"/>
  <c r="G14" i="81" s="1"/>
  <c r="G21" i="80"/>
  <c r="G9" i="81" s="1"/>
  <c r="F8" i="83" s="1"/>
  <c r="J13" i="83" s="1"/>
  <c r="R13" i="83" s="1"/>
  <c r="G22" i="80"/>
  <c r="G12" i="81" s="1"/>
  <c r="F20" i="83" s="1"/>
  <c r="J23" i="83" s="1"/>
  <c r="R23" i="83" s="1"/>
  <c r="G23" i="80"/>
  <c r="G15" i="81" s="1"/>
  <c r="F20" i="80"/>
  <c r="F14" i="81" s="1"/>
  <c r="F21" i="80"/>
  <c r="F9" i="81" s="1"/>
  <c r="E8" i="83" s="1"/>
  <c r="J12" i="83" s="1"/>
  <c r="R12" i="83" s="1"/>
  <c r="F22" i="80"/>
  <c r="F12" i="81" s="1"/>
  <c r="F23" i="80"/>
  <c r="F15" i="81" s="1"/>
  <c r="D20" i="80"/>
  <c r="D14" i="81" s="1"/>
  <c r="D21" i="80"/>
  <c r="D9" i="81" s="1"/>
  <c r="D8" i="83" s="1"/>
  <c r="J7" i="83" s="1"/>
  <c r="D22" i="80"/>
  <c r="D12" i="81" s="1"/>
  <c r="D23" i="80"/>
  <c r="D15" i="81" s="1"/>
  <c r="C20" i="80"/>
  <c r="C14" i="81" s="1"/>
  <c r="C21" i="80"/>
  <c r="C9" i="81" s="1"/>
  <c r="C8" i="83" s="1"/>
  <c r="J6" i="83" s="1"/>
  <c r="C22" i="80"/>
  <c r="C12" i="81" s="1"/>
  <c r="C20" i="83" s="1"/>
  <c r="J16" i="83" s="1"/>
  <c r="C23" i="80"/>
  <c r="C15" i="81" s="1"/>
  <c r="C14" i="83" s="1"/>
  <c r="J26" i="83" s="1"/>
  <c r="R30" i="83" s="1"/>
  <c r="G19" i="80"/>
  <c r="G11" i="81" s="1"/>
  <c r="F19" i="80"/>
  <c r="F11" i="81" s="1"/>
  <c r="D19" i="80"/>
  <c r="D11" i="81" s="1"/>
  <c r="C19" i="80"/>
  <c r="C11" i="81" s="1"/>
  <c r="C26" i="80"/>
  <c r="C27" i="80" s="1"/>
  <c r="D18" i="80" s="1"/>
  <c r="D8" i="81" s="1"/>
  <c r="D7" i="83" s="1"/>
  <c r="I7" i="83" s="1"/>
  <c r="F26" i="80"/>
  <c r="F27" i="80" s="1"/>
  <c r="G18" i="80" s="1"/>
  <c r="G8" i="81" s="1"/>
  <c r="E26" i="80"/>
  <c r="E27" i="80" s="1"/>
  <c r="F18" i="80" s="1"/>
  <c r="F8" i="81" s="1"/>
  <c r="E7" i="83" s="1"/>
  <c r="B26" i="80"/>
  <c r="B27" i="80" s="1"/>
  <c r="C18" i="80" s="1"/>
  <c r="C8" i="81" s="1"/>
  <c r="C7" i="83" s="1"/>
  <c r="I6" i="83" s="1"/>
  <c r="V8" i="80"/>
  <c r="X8" i="80" s="1"/>
  <c r="E19" i="80" s="1"/>
  <c r="E11" i="81" s="1"/>
  <c r="W8" i="80"/>
  <c r="Y8" i="80" s="1"/>
  <c r="H19" i="80" s="1"/>
  <c r="H11" i="81" s="1"/>
  <c r="V9" i="80"/>
  <c r="X9" i="80" s="1"/>
  <c r="E20" i="80" s="1"/>
  <c r="E14" i="81" s="1"/>
  <c r="W9" i="80"/>
  <c r="Y9" i="80" s="1"/>
  <c r="H20" i="80" s="1"/>
  <c r="H14" i="81" s="1"/>
  <c r="V10" i="80"/>
  <c r="X10" i="80" s="1"/>
  <c r="E21" i="80" s="1"/>
  <c r="E9" i="81" s="1"/>
  <c r="C67" i="83" s="1"/>
  <c r="G65" i="83" s="1"/>
  <c r="W10" i="80"/>
  <c r="Y10" i="80" s="1"/>
  <c r="V11" i="80"/>
  <c r="X11" i="80" s="1"/>
  <c r="E22" i="80" s="1"/>
  <c r="E12" i="81" s="1"/>
  <c r="W11" i="80"/>
  <c r="Y11" i="80" s="1"/>
  <c r="H22" i="80" s="1"/>
  <c r="H12" i="81" s="1"/>
  <c r="V12" i="80"/>
  <c r="X12" i="80" s="1"/>
  <c r="E23" i="80" s="1"/>
  <c r="E15" i="81" s="1"/>
  <c r="W12" i="80"/>
  <c r="Y12" i="80" s="1"/>
  <c r="H23" i="80" s="1"/>
  <c r="H15" i="81" s="1"/>
  <c r="W7" i="80"/>
  <c r="Y7" i="80" s="1"/>
  <c r="V7" i="80"/>
  <c r="X7" i="80" s="1"/>
  <c r="F30" i="81" l="1"/>
  <c r="F60" i="81" s="1"/>
  <c r="D28" i="81"/>
  <c r="D70" i="81" s="1"/>
  <c r="D59" i="81"/>
  <c r="F27" i="81"/>
  <c r="E33" i="83" s="1"/>
  <c r="D67" i="81"/>
  <c r="D31" i="81"/>
  <c r="D28" i="83" s="1"/>
  <c r="F28" i="81"/>
  <c r="E34" i="83" s="1"/>
  <c r="E28" i="81"/>
  <c r="E44" i="81" s="1"/>
  <c r="E71" i="81" s="1"/>
  <c r="G30" i="81"/>
  <c r="F27" i="83" s="1"/>
  <c r="F13" i="83"/>
  <c r="I33" i="83" s="1"/>
  <c r="Q33" i="83" s="1"/>
  <c r="D30" i="81"/>
  <c r="D27" i="83" s="1"/>
  <c r="E67" i="81"/>
  <c r="K15" i="81"/>
  <c r="D73" i="83"/>
  <c r="G84" i="83" s="1"/>
  <c r="J84" i="83" s="1"/>
  <c r="R84" i="83" s="1"/>
  <c r="G27" i="81"/>
  <c r="F33" i="83" s="1"/>
  <c r="F19" i="83"/>
  <c r="I23" i="83" s="1"/>
  <c r="Q23" i="83" s="1"/>
  <c r="S23" i="83" s="1"/>
  <c r="E31" i="81"/>
  <c r="C73" i="83"/>
  <c r="G81" i="83" s="1"/>
  <c r="J81" i="83" s="1"/>
  <c r="R81" i="83" s="1"/>
  <c r="D27" i="81"/>
  <c r="D33" i="83" s="1"/>
  <c r="F31" i="81"/>
  <c r="F47" i="81" s="1"/>
  <c r="F63" i="81" s="1"/>
  <c r="G31" i="81"/>
  <c r="G47" i="81" s="1"/>
  <c r="G63" i="81" s="1"/>
  <c r="E19" i="83"/>
  <c r="I22" i="83" s="1"/>
  <c r="Q22" i="83" s="1"/>
  <c r="G26" i="80"/>
  <c r="G27" i="80" s="1"/>
  <c r="H18" i="80" s="1"/>
  <c r="H8" i="81" s="1"/>
  <c r="D66" i="83" s="1"/>
  <c r="F68" i="83" s="1"/>
  <c r="I68" i="83" s="1"/>
  <c r="Q68" i="83" s="1"/>
  <c r="H21" i="80"/>
  <c r="H9" i="81" s="1"/>
  <c r="H28" i="81" s="1"/>
  <c r="H44" i="81" s="1"/>
  <c r="H71" i="81" s="1"/>
  <c r="E13" i="83"/>
  <c r="I32" i="83" s="1"/>
  <c r="Q32" i="83" s="1"/>
  <c r="I13" i="84"/>
  <c r="H26" i="84"/>
  <c r="L11" i="84"/>
  <c r="G28" i="81"/>
  <c r="F34" i="83" s="1"/>
  <c r="F14" i="83"/>
  <c r="J33" i="83" s="1"/>
  <c r="R33" i="83" s="1"/>
  <c r="C30" i="81"/>
  <c r="C27" i="83" s="1"/>
  <c r="D65" i="81"/>
  <c r="D20" i="83"/>
  <c r="J17" i="83" s="1"/>
  <c r="D19" i="83"/>
  <c r="I17" i="83" s="1"/>
  <c r="D14" i="83"/>
  <c r="J27" i="83" s="1"/>
  <c r="R31" i="83" s="1"/>
  <c r="D13" i="83"/>
  <c r="I27" i="83" s="1"/>
  <c r="Q29" i="83" s="1"/>
  <c r="I76" i="83"/>
  <c r="Q76" i="83" s="1"/>
  <c r="D72" i="83"/>
  <c r="F84" i="83" s="1"/>
  <c r="I84" i="83" s="1"/>
  <c r="Q84" i="83" s="1"/>
  <c r="C27" i="81"/>
  <c r="C33" i="83" s="1"/>
  <c r="J8" i="81"/>
  <c r="C58" i="81"/>
  <c r="E20" i="83"/>
  <c r="J22" i="83" s="1"/>
  <c r="R22" i="83" s="1"/>
  <c r="E14" i="83"/>
  <c r="J32" i="83" s="1"/>
  <c r="R32" i="83" s="1"/>
  <c r="R59" i="83" s="1"/>
  <c r="F66" i="81"/>
  <c r="F59" i="81"/>
  <c r="C31" i="81"/>
  <c r="C28" i="83" s="1"/>
  <c r="C28" i="81"/>
  <c r="C44" i="81" s="1"/>
  <c r="C71" i="81" s="1"/>
  <c r="F7" i="83"/>
  <c r="I13" i="83" s="1"/>
  <c r="Q13" i="83" s="1"/>
  <c r="S13" i="83" s="1"/>
  <c r="C19" i="83"/>
  <c r="I16" i="83" s="1"/>
  <c r="C13" i="83"/>
  <c r="I26" i="83" s="1"/>
  <c r="Q26" i="83" s="1"/>
  <c r="C72" i="83"/>
  <c r="F82" i="83" s="1"/>
  <c r="I82" i="83" s="1"/>
  <c r="Q82" i="83" s="1"/>
  <c r="G68" i="81"/>
  <c r="E47" i="81"/>
  <c r="E63" i="81" s="1"/>
  <c r="E62" i="81"/>
  <c r="E59" i="81"/>
  <c r="E58" i="81"/>
  <c r="D46" i="81"/>
  <c r="D61" i="81" s="1"/>
  <c r="F70" i="81"/>
  <c r="G60" i="81"/>
  <c r="D58" i="81"/>
  <c r="C66" i="81"/>
  <c r="F46" i="81"/>
  <c r="F61" i="81" s="1"/>
  <c r="D44" i="81"/>
  <c r="D71" i="81" s="1"/>
  <c r="D47" i="81"/>
  <c r="D63" i="81" s="1"/>
  <c r="J76" i="83"/>
  <c r="R76" i="83" s="1"/>
  <c r="I75" i="83"/>
  <c r="Q75" i="83" s="1"/>
  <c r="D34" i="83"/>
  <c r="I73" i="83"/>
  <c r="Q73" i="83" s="1"/>
  <c r="I74" i="83"/>
  <c r="Q74" i="83" s="1"/>
  <c r="R18" i="83"/>
  <c r="R9" i="83"/>
  <c r="R10" i="83"/>
  <c r="R57" i="83" s="1"/>
  <c r="J65" i="83"/>
  <c r="R65" i="83" s="1"/>
  <c r="I12" i="83"/>
  <c r="Q12" i="83" s="1"/>
  <c r="R11" i="83"/>
  <c r="AB5" i="83"/>
  <c r="AC5" i="83" s="1"/>
  <c r="AD5" i="83" s="1"/>
  <c r="AE5" i="83" s="1"/>
  <c r="AF64" i="83"/>
  <c r="AG64" i="83" s="1"/>
  <c r="AH64" i="83" s="1"/>
  <c r="AI64" i="83" s="1"/>
  <c r="AJ64" i="83" s="1"/>
  <c r="Q6" i="83"/>
  <c r="Q9" i="83"/>
  <c r="Q7" i="83"/>
  <c r="Q8" i="83"/>
  <c r="R8" i="83"/>
  <c r="Q10" i="83"/>
  <c r="Q11" i="83"/>
  <c r="R28" i="83"/>
  <c r="R26" i="83"/>
  <c r="R48" i="83"/>
  <c r="R6" i="83"/>
  <c r="R20" i="83"/>
  <c r="R7" i="83"/>
  <c r="R16" i="83"/>
  <c r="G67" i="83"/>
  <c r="J67" i="83" s="1"/>
  <c r="R67" i="83" s="1"/>
  <c r="G66" i="83"/>
  <c r="J66" i="83" s="1"/>
  <c r="R66" i="83" s="1"/>
  <c r="I9" i="81"/>
  <c r="J12" i="81"/>
  <c r="K11" i="81"/>
  <c r="J15" i="81"/>
  <c r="K14" i="81"/>
  <c r="J9" i="81"/>
  <c r="H31" i="81"/>
  <c r="J11" i="81"/>
  <c r="I15" i="81"/>
  <c r="I12" i="81"/>
  <c r="I11" i="81"/>
  <c r="I14" i="81"/>
  <c r="J14" i="81"/>
  <c r="K12" i="81"/>
  <c r="I8" i="81"/>
  <c r="D26" i="80"/>
  <c r="D27" i="80" s="1"/>
  <c r="E18" i="80" s="1"/>
  <c r="E8" i="81" s="1"/>
  <c r="C66" i="83" s="1"/>
  <c r="F67" i="83" s="1"/>
  <c r="I67" i="83" s="1"/>
  <c r="Q67" i="83" s="1"/>
  <c r="C34" i="83" l="1"/>
  <c r="D62" i="81"/>
  <c r="G46" i="81"/>
  <c r="G61" i="81" s="1"/>
  <c r="F28" i="83"/>
  <c r="J74" i="83"/>
  <c r="R74" i="83" s="1"/>
  <c r="F67" i="81"/>
  <c r="G67" i="81"/>
  <c r="Q60" i="83"/>
  <c r="G66" i="81"/>
  <c r="C65" i="81"/>
  <c r="S84" i="83"/>
  <c r="AC84" i="83" s="1"/>
  <c r="AY84" i="83" s="1"/>
  <c r="K77" i="76" s="1"/>
  <c r="E27" i="83"/>
  <c r="D66" i="81"/>
  <c r="G62" i="81"/>
  <c r="C68" i="81"/>
  <c r="J73" i="83"/>
  <c r="R73" i="83" s="1"/>
  <c r="S73" i="83" s="1"/>
  <c r="AD73" i="83" s="1"/>
  <c r="AZ73" i="83" s="1"/>
  <c r="L66" i="76" s="1"/>
  <c r="C60" i="81"/>
  <c r="D43" i="81"/>
  <c r="D69" i="81" s="1"/>
  <c r="F44" i="81"/>
  <c r="F71" i="81" s="1"/>
  <c r="G70" i="81"/>
  <c r="D68" i="81"/>
  <c r="C43" i="81"/>
  <c r="C69" i="81" s="1"/>
  <c r="G83" i="83"/>
  <c r="J83" i="83" s="1"/>
  <c r="R83" i="83" s="1"/>
  <c r="J75" i="83"/>
  <c r="R75" i="83" s="1"/>
  <c r="S75" i="83" s="1"/>
  <c r="AE75" i="83" s="1"/>
  <c r="BA75" i="83" s="1"/>
  <c r="M68" i="76" s="1"/>
  <c r="C46" i="81"/>
  <c r="C61" i="81" s="1"/>
  <c r="H27" i="81"/>
  <c r="H43" i="81" s="1"/>
  <c r="H69" i="81" s="1"/>
  <c r="F68" i="81"/>
  <c r="D56" i="81"/>
  <c r="F43" i="81"/>
  <c r="F69" i="81" s="1"/>
  <c r="G82" i="83"/>
  <c r="J82" i="83" s="1"/>
  <c r="R82" i="83" s="1"/>
  <c r="S82" i="83" s="1"/>
  <c r="AE82" i="83" s="1"/>
  <c r="BA82" i="83" s="1"/>
  <c r="M75" i="76" s="1"/>
  <c r="C62" i="81"/>
  <c r="D60" i="81"/>
  <c r="C56" i="81"/>
  <c r="K8" i="81"/>
  <c r="H70" i="81"/>
  <c r="D57" i="81"/>
  <c r="C57" i="81"/>
  <c r="G43" i="81"/>
  <c r="G69" i="81" s="1"/>
  <c r="F65" i="83"/>
  <c r="I65" i="83" s="1"/>
  <c r="Q65" i="83" s="1"/>
  <c r="S65" i="83" s="1"/>
  <c r="E27" i="81"/>
  <c r="Q47" i="83"/>
  <c r="F58" i="81"/>
  <c r="G44" i="81"/>
  <c r="G71" i="81" s="1"/>
  <c r="E66" i="81"/>
  <c r="H68" i="81"/>
  <c r="E70" i="81"/>
  <c r="F62" i="81"/>
  <c r="K9" i="81"/>
  <c r="D67" i="83"/>
  <c r="G68" i="83" s="1"/>
  <c r="J68" i="83" s="1"/>
  <c r="R68" i="83" s="1"/>
  <c r="S68" i="83" s="1"/>
  <c r="U68" i="83" s="1"/>
  <c r="AQ68" i="83" s="1"/>
  <c r="C61" i="76" s="1"/>
  <c r="E30" i="81"/>
  <c r="C59" i="81"/>
  <c r="S67" i="83"/>
  <c r="AF67" i="83" s="1"/>
  <c r="BB67" i="83" s="1"/>
  <c r="N60" i="76" s="1"/>
  <c r="F66" i="83"/>
  <c r="I66" i="83" s="1"/>
  <c r="Q66" i="83" s="1"/>
  <c r="S66" i="83" s="1"/>
  <c r="AJ66" i="83" s="1"/>
  <c r="BF66" i="83" s="1"/>
  <c r="R59" i="76" s="1"/>
  <c r="E28" i="83"/>
  <c r="S22" i="83"/>
  <c r="U22" i="83" s="1"/>
  <c r="AQ16" i="83" s="1"/>
  <c r="C17" i="76" s="1"/>
  <c r="H30" i="81"/>
  <c r="I31" i="84"/>
  <c r="I33" i="84" s="1"/>
  <c r="I24" i="84"/>
  <c r="M11" i="84"/>
  <c r="R47" i="83"/>
  <c r="Q27" i="83"/>
  <c r="Q54" i="83" s="1"/>
  <c r="R27" i="83"/>
  <c r="R54" i="83" s="1"/>
  <c r="F83" i="83"/>
  <c r="I83" i="83" s="1"/>
  <c r="Q83" i="83" s="1"/>
  <c r="S83" i="83" s="1"/>
  <c r="X83" i="83" s="1"/>
  <c r="AT83" i="83" s="1"/>
  <c r="F76" i="76" s="1"/>
  <c r="S76" i="83"/>
  <c r="G58" i="81"/>
  <c r="Q30" i="83"/>
  <c r="S30" i="83" s="1"/>
  <c r="AC30" i="83" s="1"/>
  <c r="R29" i="83"/>
  <c r="R56" i="83" s="1"/>
  <c r="F81" i="83"/>
  <c r="I81" i="83" s="1"/>
  <c r="Q81" i="83" s="1"/>
  <c r="S81" i="83" s="1"/>
  <c r="C70" i="81"/>
  <c r="C47" i="81"/>
  <c r="C63" i="81" s="1"/>
  <c r="D64" i="81"/>
  <c r="G59" i="81"/>
  <c r="C67" i="81"/>
  <c r="Q28" i="83"/>
  <c r="Q55" i="83" s="1"/>
  <c r="Q56" i="83"/>
  <c r="Q31" i="83"/>
  <c r="S31" i="83" s="1"/>
  <c r="C64" i="81"/>
  <c r="W13" i="83"/>
  <c r="AS44" i="83" s="1"/>
  <c r="E35" i="76" s="1"/>
  <c r="AE13" i="83"/>
  <c r="BA44" i="83" s="1"/>
  <c r="M35" i="76" s="1"/>
  <c r="X13" i="83"/>
  <c r="AT44" i="83" s="1"/>
  <c r="F35" i="76" s="1"/>
  <c r="H47" i="81"/>
  <c r="H63" i="81" s="1"/>
  <c r="H62" i="81"/>
  <c r="G65" i="81"/>
  <c r="G64" i="81"/>
  <c r="H67" i="81"/>
  <c r="H66" i="81"/>
  <c r="F57" i="81"/>
  <c r="F56" i="81"/>
  <c r="F65" i="81"/>
  <c r="F64" i="81"/>
  <c r="G57" i="81"/>
  <c r="G56" i="81"/>
  <c r="H59" i="81"/>
  <c r="H58" i="81"/>
  <c r="R43" i="83"/>
  <c r="Z13" i="83"/>
  <c r="AV44" i="83" s="1"/>
  <c r="H35" i="76" s="1"/>
  <c r="V13" i="83"/>
  <c r="AR44" i="83" s="1"/>
  <c r="D35" i="76" s="1"/>
  <c r="U13" i="83"/>
  <c r="AQ44" i="83" s="1"/>
  <c r="C35" i="76" s="1"/>
  <c r="AA13" i="83"/>
  <c r="AW44" i="83" s="1"/>
  <c r="I35" i="76" s="1"/>
  <c r="Y13" i="83"/>
  <c r="AU44" i="83" s="1"/>
  <c r="G35" i="76" s="1"/>
  <c r="S32" i="83"/>
  <c r="S12" i="83"/>
  <c r="S10" i="83"/>
  <c r="Z84" i="83"/>
  <c r="AV84" i="83" s="1"/>
  <c r="H77" i="76" s="1"/>
  <c r="AF84" i="83"/>
  <c r="BB84" i="83" s="1"/>
  <c r="N77" i="76" s="1"/>
  <c r="AE68" i="83"/>
  <c r="BA68" i="83" s="1"/>
  <c r="M61" i="76" s="1"/>
  <c r="X84" i="83"/>
  <c r="AT84" i="83" s="1"/>
  <c r="F77" i="76" s="1"/>
  <c r="Q17" i="83"/>
  <c r="Q21" i="83"/>
  <c r="Q19" i="83"/>
  <c r="S7" i="83"/>
  <c r="S8" i="83"/>
  <c r="AC8" i="83" s="1"/>
  <c r="AY7" i="83" s="1"/>
  <c r="K7" i="76" s="1"/>
  <c r="S33" i="83"/>
  <c r="R60" i="83"/>
  <c r="S74" i="83"/>
  <c r="Y74" i="83" s="1"/>
  <c r="AU74" i="83" s="1"/>
  <c r="G67" i="76" s="1"/>
  <c r="R53" i="83"/>
  <c r="S26" i="83"/>
  <c r="Q53" i="83"/>
  <c r="Q18" i="83"/>
  <c r="Q20" i="83"/>
  <c r="Q16" i="83"/>
  <c r="Q59" i="83"/>
  <c r="AF5" i="83"/>
  <c r="AF23" i="83" s="1"/>
  <c r="S11" i="83"/>
  <c r="AB11" i="83" s="1"/>
  <c r="AX43" i="83" s="1"/>
  <c r="J34" i="76" s="1"/>
  <c r="AB13" i="83"/>
  <c r="AX44" i="83" s="1"/>
  <c r="J35" i="76" s="1"/>
  <c r="S6" i="83"/>
  <c r="R55" i="83"/>
  <c r="R17" i="83"/>
  <c r="R21" i="83"/>
  <c r="R19" i="83"/>
  <c r="R58" i="83"/>
  <c r="AE23" i="83"/>
  <c r="AA23" i="83"/>
  <c r="W23" i="83"/>
  <c r="Z23" i="83"/>
  <c r="U23" i="83"/>
  <c r="Q48" i="83"/>
  <c r="AD23" i="83"/>
  <c r="Y23" i="83"/>
  <c r="AC23" i="83"/>
  <c r="AB23" i="83"/>
  <c r="X23" i="83"/>
  <c r="V23" i="83"/>
  <c r="AK64" i="83"/>
  <c r="R41" i="83"/>
  <c r="R45" i="83"/>
  <c r="AC13" i="83"/>
  <c r="AY44" i="83" s="1"/>
  <c r="K35" i="76" s="1"/>
  <c r="AH84" i="83"/>
  <c r="BD84" i="83" s="1"/>
  <c r="P77" i="76" s="1"/>
  <c r="S9" i="83"/>
  <c r="AC9" i="83" s="1"/>
  <c r="AY42" i="83" s="1"/>
  <c r="K33" i="76" s="1"/>
  <c r="AD13" i="83"/>
  <c r="AZ44" i="83" s="1"/>
  <c r="L35" i="76" s="1"/>
  <c r="AD22" i="83" l="1"/>
  <c r="AA84" i="83"/>
  <c r="AW84" i="83" s="1"/>
  <c r="I77" i="76" s="1"/>
  <c r="AF10" i="83"/>
  <c r="BB8" i="83" s="1"/>
  <c r="N8" i="76" s="1"/>
  <c r="V84" i="83"/>
  <c r="AR84" i="83" s="1"/>
  <c r="D77" i="76" s="1"/>
  <c r="AD84" i="83"/>
  <c r="AZ84" i="83" s="1"/>
  <c r="L77" i="76" s="1"/>
  <c r="AH75" i="83"/>
  <c r="BD75" i="83" s="1"/>
  <c r="P68" i="76" s="1"/>
  <c r="W22" i="83"/>
  <c r="AS16" i="83" s="1"/>
  <c r="E17" i="76" s="1"/>
  <c r="AA75" i="83"/>
  <c r="AW75" i="83" s="1"/>
  <c r="I68" i="76" s="1"/>
  <c r="AC22" i="83"/>
  <c r="X75" i="83"/>
  <c r="AT75" i="83" s="1"/>
  <c r="F68" i="76" s="1"/>
  <c r="AB68" i="83"/>
  <c r="AX68" i="83" s="1"/>
  <c r="J61" i="76" s="1"/>
  <c r="U84" i="83"/>
  <c r="AQ84" i="83" s="1"/>
  <c r="C77" i="76" s="1"/>
  <c r="AG75" i="83"/>
  <c r="BC75" i="83" s="1"/>
  <c r="O68" i="76" s="1"/>
  <c r="Z22" i="83"/>
  <c r="AV16" i="83" s="1"/>
  <c r="H17" i="76" s="1"/>
  <c r="AE22" i="83"/>
  <c r="BA16" i="83" s="1"/>
  <c r="M17" i="76" s="1"/>
  <c r="Z75" i="83"/>
  <c r="AV75" i="83" s="1"/>
  <c r="H68" i="76" s="1"/>
  <c r="AB84" i="83"/>
  <c r="AX84" i="83" s="1"/>
  <c r="J77" i="76" s="1"/>
  <c r="AJ84" i="83"/>
  <c r="BF84" i="83" s="1"/>
  <c r="R77" i="76" s="1"/>
  <c r="W84" i="83"/>
  <c r="AS84" i="83" s="1"/>
  <c r="E77" i="76" s="1"/>
  <c r="AE84" i="83"/>
  <c r="BA84" i="83" s="1"/>
  <c r="M77" i="76" s="1"/>
  <c r="AB22" i="83"/>
  <c r="AC75" i="83"/>
  <c r="AY75" i="83" s="1"/>
  <c r="K68" i="76" s="1"/>
  <c r="AI84" i="83"/>
  <c r="BE84" i="83" s="1"/>
  <c r="Q77" i="76" s="1"/>
  <c r="AG84" i="83"/>
  <c r="BC84" i="83" s="1"/>
  <c r="O77" i="76" s="1"/>
  <c r="Y84" i="83"/>
  <c r="AU84" i="83" s="1"/>
  <c r="G77" i="76" s="1"/>
  <c r="AF75" i="83"/>
  <c r="BB75" i="83" s="1"/>
  <c r="N68" i="76" s="1"/>
  <c r="AA22" i="83"/>
  <c r="AW16" i="83" s="1"/>
  <c r="I17" i="76" s="1"/>
  <c r="AI75" i="83"/>
  <c r="BE75" i="83" s="1"/>
  <c r="Q68" i="76" s="1"/>
  <c r="X22" i="83"/>
  <c r="AT16" i="83" s="1"/>
  <c r="F17" i="76" s="1"/>
  <c r="Y22" i="83"/>
  <c r="AU16" i="83" s="1"/>
  <c r="G17" i="76" s="1"/>
  <c r="AD75" i="83"/>
  <c r="AZ75" i="83" s="1"/>
  <c r="L68" i="76" s="1"/>
  <c r="V75" i="83"/>
  <c r="AR75" i="83" s="1"/>
  <c r="D68" i="76" s="1"/>
  <c r="V22" i="83"/>
  <c r="AR16" i="83" s="1"/>
  <c r="D17" i="76" s="1"/>
  <c r="U75" i="83"/>
  <c r="AQ75" i="83" s="1"/>
  <c r="C68" i="76" s="1"/>
  <c r="W75" i="83"/>
  <c r="AS75" i="83" s="1"/>
  <c r="E68" i="76" s="1"/>
  <c r="AB75" i="83"/>
  <c r="AX75" i="83" s="1"/>
  <c r="J68" i="76" s="1"/>
  <c r="AF22" i="83"/>
  <c r="BB16" i="83" s="1"/>
  <c r="N17" i="76" s="1"/>
  <c r="AJ75" i="83"/>
  <c r="BF75" i="83" s="1"/>
  <c r="R68" i="76" s="1"/>
  <c r="Y75" i="83"/>
  <c r="AU75" i="83" s="1"/>
  <c r="G68" i="76" s="1"/>
  <c r="H57" i="81"/>
  <c r="H56" i="81"/>
  <c r="AG68" i="83"/>
  <c r="BC68" i="83" s="1"/>
  <c r="O61" i="76" s="1"/>
  <c r="AJ67" i="83"/>
  <c r="BF67" i="83" s="1"/>
  <c r="R60" i="76" s="1"/>
  <c r="AB67" i="83"/>
  <c r="AX67" i="83" s="1"/>
  <c r="J60" i="76" s="1"/>
  <c r="AE67" i="83"/>
  <c r="BA67" i="83" s="1"/>
  <c r="M60" i="76" s="1"/>
  <c r="H65" i="81"/>
  <c r="H64" i="81"/>
  <c r="Z67" i="83"/>
  <c r="AV67" i="83" s="1"/>
  <c r="H60" i="76" s="1"/>
  <c r="E43" i="81"/>
  <c r="E69" i="81" s="1"/>
  <c r="E68" i="81"/>
  <c r="AH67" i="83"/>
  <c r="BD67" i="83" s="1"/>
  <c r="P60" i="76" s="1"/>
  <c r="U67" i="83"/>
  <c r="AQ67" i="83" s="1"/>
  <c r="C60" i="76" s="1"/>
  <c r="AI67" i="83"/>
  <c r="BE67" i="83" s="1"/>
  <c r="Q60" i="76" s="1"/>
  <c r="AC68" i="83"/>
  <c r="AY68" i="83" s="1"/>
  <c r="K61" i="76" s="1"/>
  <c r="AJ68" i="83"/>
  <c r="BF68" i="83" s="1"/>
  <c r="R61" i="76" s="1"/>
  <c r="W68" i="83"/>
  <c r="AS68" i="83" s="1"/>
  <c r="E61" i="76" s="1"/>
  <c r="H46" i="81"/>
  <c r="H61" i="81" s="1"/>
  <c r="H60" i="81"/>
  <c r="AD67" i="83"/>
  <c r="AZ67" i="83" s="1"/>
  <c r="L60" i="76" s="1"/>
  <c r="AI68" i="83"/>
  <c r="BE68" i="83" s="1"/>
  <c r="Q61" i="76" s="1"/>
  <c r="Y67" i="83"/>
  <c r="AU67" i="83" s="1"/>
  <c r="G60" i="76" s="1"/>
  <c r="AC67" i="83"/>
  <c r="AY67" i="83" s="1"/>
  <c r="K60" i="76" s="1"/>
  <c r="AH68" i="83"/>
  <c r="BD68" i="83" s="1"/>
  <c r="P61" i="76" s="1"/>
  <c r="AF68" i="83"/>
  <c r="BB68" i="83" s="1"/>
  <c r="N61" i="76" s="1"/>
  <c r="Y68" i="83"/>
  <c r="AU68" i="83" s="1"/>
  <c r="G61" i="76" s="1"/>
  <c r="E57" i="81"/>
  <c r="E56" i="81"/>
  <c r="V67" i="83"/>
  <c r="AR67" i="83" s="1"/>
  <c r="D60" i="76" s="1"/>
  <c r="AA67" i="83"/>
  <c r="AW67" i="83" s="1"/>
  <c r="I60" i="76" s="1"/>
  <c r="AG67" i="83"/>
  <c r="BC67" i="83" s="1"/>
  <c r="O60" i="76" s="1"/>
  <c r="X67" i="83"/>
  <c r="AT67" i="83" s="1"/>
  <c r="F60" i="76" s="1"/>
  <c r="W67" i="83"/>
  <c r="AS67" i="83" s="1"/>
  <c r="E60" i="76" s="1"/>
  <c r="X68" i="83"/>
  <c r="AT68" i="83" s="1"/>
  <c r="F61" i="76" s="1"/>
  <c r="Z68" i="83"/>
  <c r="AV68" i="83" s="1"/>
  <c r="H61" i="76" s="1"/>
  <c r="AA68" i="83"/>
  <c r="AW68" i="83" s="1"/>
  <c r="I61" i="76" s="1"/>
  <c r="AD68" i="83"/>
  <c r="AZ68" i="83" s="1"/>
  <c r="L61" i="76" s="1"/>
  <c r="V68" i="83"/>
  <c r="AR68" i="83" s="1"/>
  <c r="D61" i="76" s="1"/>
  <c r="E46" i="81"/>
  <c r="E61" i="81" s="1"/>
  <c r="E60" i="81"/>
  <c r="E64" i="81"/>
  <c r="E65" i="81"/>
  <c r="I26" i="84"/>
  <c r="J13" i="84"/>
  <c r="N11" i="84"/>
  <c r="AB76" i="83"/>
  <c r="AX76" i="83" s="1"/>
  <c r="J69" i="76" s="1"/>
  <c r="Q58" i="83"/>
  <c r="AD76" i="83"/>
  <c r="AZ76" i="83" s="1"/>
  <c r="L69" i="76" s="1"/>
  <c r="Q57" i="83"/>
  <c r="X76" i="83"/>
  <c r="AT76" i="83" s="1"/>
  <c r="F69" i="76" s="1"/>
  <c r="AI76" i="83"/>
  <c r="BE76" i="83" s="1"/>
  <c r="Q69" i="76" s="1"/>
  <c r="S27" i="83"/>
  <c r="S28" i="83"/>
  <c r="W28" i="83" s="1"/>
  <c r="AS21" i="83" s="1"/>
  <c r="E23" i="76" s="1"/>
  <c r="Z76" i="83"/>
  <c r="AV76" i="83" s="1"/>
  <c r="H69" i="76" s="1"/>
  <c r="S29" i="83"/>
  <c r="U76" i="83"/>
  <c r="AQ76" i="83" s="1"/>
  <c r="C69" i="76" s="1"/>
  <c r="AJ76" i="83"/>
  <c r="BF76" i="83" s="1"/>
  <c r="R69" i="76" s="1"/>
  <c r="AH76" i="83"/>
  <c r="BD76" i="83" s="1"/>
  <c r="P69" i="76" s="1"/>
  <c r="AF76" i="83"/>
  <c r="BB76" i="83" s="1"/>
  <c r="N69" i="76" s="1"/>
  <c r="W76" i="83"/>
  <c r="AS76" i="83" s="1"/>
  <c r="E69" i="76" s="1"/>
  <c r="AG76" i="83"/>
  <c r="BC76" i="83" s="1"/>
  <c r="O69" i="76" s="1"/>
  <c r="V76" i="83"/>
  <c r="AR76" i="83" s="1"/>
  <c r="D69" i="76" s="1"/>
  <c r="AE76" i="83"/>
  <c r="BA76" i="83" s="1"/>
  <c r="M69" i="76" s="1"/>
  <c r="AC76" i="83"/>
  <c r="AY76" i="83" s="1"/>
  <c r="K69" i="76" s="1"/>
  <c r="AA76" i="83"/>
  <c r="AW76" i="83" s="1"/>
  <c r="I69" i="76" s="1"/>
  <c r="Y76" i="83"/>
  <c r="AU76" i="83" s="1"/>
  <c r="G69" i="76" s="1"/>
  <c r="V81" i="83"/>
  <c r="AR81" i="83" s="1"/>
  <c r="D74" i="76" s="1"/>
  <c r="AG81" i="83"/>
  <c r="BC81" i="83" s="1"/>
  <c r="O74" i="76" s="1"/>
  <c r="Y81" i="83"/>
  <c r="AU81" i="83" s="1"/>
  <c r="G74" i="76" s="1"/>
  <c r="AA81" i="83"/>
  <c r="AW81" i="83" s="1"/>
  <c r="I74" i="76" s="1"/>
  <c r="AF81" i="83"/>
  <c r="BB81" i="83" s="1"/>
  <c r="N74" i="76" s="1"/>
  <c r="AD81" i="83"/>
  <c r="AZ81" i="83" s="1"/>
  <c r="L74" i="76" s="1"/>
  <c r="Y65" i="83"/>
  <c r="AU65" i="83" s="1"/>
  <c r="G58" i="76" s="1"/>
  <c r="X81" i="83"/>
  <c r="AT81" i="83" s="1"/>
  <c r="F74" i="76" s="1"/>
  <c r="Z32" i="83"/>
  <c r="AV23" i="83" s="1"/>
  <c r="H25" i="76" s="1"/>
  <c r="U8" i="83"/>
  <c r="AQ7" i="83" s="1"/>
  <c r="C7" i="76" s="1"/>
  <c r="AH81" i="83"/>
  <c r="BD81" i="83" s="1"/>
  <c r="P74" i="76" s="1"/>
  <c r="AC81" i="83"/>
  <c r="AY81" i="83" s="1"/>
  <c r="K74" i="76" s="1"/>
  <c r="Z81" i="83"/>
  <c r="AV81" i="83" s="1"/>
  <c r="H74" i="76" s="1"/>
  <c r="AE81" i="83"/>
  <c r="BA81" i="83" s="1"/>
  <c r="M74" i="76" s="1"/>
  <c r="AJ81" i="83"/>
  <c r="BF81" i="83" s="1"/>
  <c r="R74" i="76" s="1"/>
  <c r="AB12" i="83"/>
  <c r="AX9" i="83" s="1"/>
  <c r="J9" i="76" s="1"/>
  <c r="AD32" i="83"/>
  <c r="AB32" i="83"/>
  <c r="AF83" i="83"/>
  <c r="BB83" i="83" s="1"/>
  <c r="N76" i="76" s="1"/>
  <c r="W12" i="83"/>
  <c r="AS9" i="83" s="1"/>
  <c r="E9" i="76" s="1"/>
  <c r="AA7" i="83"/>
  <c r="AW41" i="83" s="1"/>
  <c r="I32" i="76" s="1"/>
  <c r="AB81" i="83"/>
  <c r="AX81" i="83" s="1"/>
  <c r="J74" i="76" s="1"/>
  <c r="U81" i="83"/>
  <c r="AQ81" i="83" s="1"/>
  <c r="C74" i="76" s="1"/>
  <c r="X64" i="74"/>
  <c r="V88" i="72" s="1"/>
  <c r="W81" i="83"/>
  <c r="AS81" i="83" s="1"/>
  <c r="E74" i="76" s="1"/>
  <c r="AI81" i="83"/>
  <c r="BE81" i="83" s="1"/>
  <c r="Q74" i="76" s="1"/>
  <c r="AE10" i="83"/>
  <c r="BA8" i="83" s="1"/>
  <c r="M8" i="76" s="1"/>
  <c r="X12" i="83"/>
  <c r="AT9" i="83" s="1"/>
  <c r="F9" i="76" s="1"/>
  <c r="Y32" i="83"/>
  <c r="AA32" i="83"/>
  <c r="AW23" i="83" s="1"/>
  <c r="I25" i="76" s="1"/>
  <c r="V12" i="83"/>
  <c r="AR9" i="83" s="1"/>
  <c r="D9" i="76" s="1"/>
  <c r="AE12" i="83"/>
  <c r="BA9" i="83" s="1"/>
  <c r="M9" i="76" s="1"/>
  <c r="AC32" i="83"/>
  <c r="AE32" i="83"/>
  <c r="BA23" i="83" s="1"/>
  <c r="M25" i="76" s="1"/>
  <c r="X32" i="83"/>
  <c r="AT23" i="83" s="1"/>
  <c r="F25" i="76" s="1"/>
  <c r="AE83" i="83"/>
  <c r="BA83" i="83" s="1"/>
  <c r="M76" i="76" s="1"/>
  <c r="AD12" i="83"/>
  <c r="AZ9" i="83" s="1"/>
  <c r="L9" i="76" s="1"/>
  <c r="U12" i="83"/>
  <c r="AQ9" i="83" s="1"/>
  <c r="C9" i="76" s="1"/>
  <c r="AA12" i="83"/>
  <c r="AW9" i="83" s="1"/>
  <c r="I9" i="76" s="1"/>
  <c r="AC7" i="83"/>
  <c r="AY41" i="83" s="1"/>
  <c r="K32" i="76" s="1"/>
  <c r="U65" i="83"/>
  <c r="AQ65" i="83" s="1"/>
  <c r="C58" i="76" s="1"/>
  <c r="AC12" i="83"/>
  <c r="AY9" i="83" s="1"/>
  <c r="K9" i="76" s="1"/>
  <c r="Z7" i="83"/>
  <c r="AV41" i="83" s="1"/>
  <c r="H32" i="76" s="1"/>
  <c r="AA83" i="83"/>
  <c r="AW83" i="83" s="1"/>
  <c r="I76" i="76" s="1"/>
  <c r="W32" i="83"/>
  <c r="AS23" i="83" s="1"/>
  <c r="E25" i="76" s="1"/>
  <c r="U32" i="83"/>
  <c r="U59" i="83" s="1"/>
  <c r="V32" i="83"/>
  <c r="AR23" i="83" s="1"/>
  <c r="D25" i="76" s="1"/>
  <c r="AB83" i="83"/>
  <c r="AX83" i="83" s="1"/>
  <c r="J76" i="76" s="1"/>
  <c r="Y12" i="83"/>
  <c r="AU9" i="83" s="1"/>
  <c r="G9" i="76" s="1"/>
  <c r="Z12" i="83"/>
  <c r="AV9" i="83" s="1"/>
  <c r="H9" i="76" s="1"/>
  <c r="AE8" i="83"/>
  <c r="BA7" i="83" s="1"/>
  <c r="M7" i="76" s="1"/>
  <c r="V73" i="83"/>
  <c r="AR73" i="83" s="1"/>
  <c r="D66" i="76" s="1"/>
  <c r="X66" i="83"/>
  <c r="AT66" i="83" s="1"/>
  <c r="F59" i="76" s="1"/>
  <c r="AH83" i="83"/>
  <c r="BD83" i="83" s="1"/>
  <c r="P76" i="76" s="1"/>
  <c r="Z83" i="83"/>
  <c r="AV83" i="83" s="1"/>
  <c r="H76" i="76" s="1"/>
  <c r="AD83" i="83"/>
  <c r="AZ83" i="83" s="1"/>
  <c r="L76" i="76" s="1"/>
  <c r="Y83" i="83"/>
  <c r="AU83" i="83" s="1"/>
  <c r="G76" i="76" s="1"/>
  <c r="Y45" i="74"/>
  <c r="AC83" i="83"/>
  <c r="AY83" i="83" s="1"/>
  <c r="K76" i="76" s="1"/>
  <c r="AJ83" i="83"/>
  <c r="BF83" i="83" s="1"/>
  <c r="R76" i="76" s="1"/>
  <c r="AG83" i="83"/>
  <c r="BC83" i="83" s="1"/>
  <c r="O76" i="76" s="1"/>
  <c r="U83" i="83"/>
  <c r="AQ83" i="83" s="1"/>
  <c r="C76" i="76" s="1"/>
  <c r="V83" i="83"/>
  <c r="AR83" i="83" s="1"/>
  <c r="D76" i="76" s="1"/>
  <c r="AI83" i="83"/>
  <c r="BE83" i="83" s="1"/>
  <c r="Q76" i="76" s="1"/>
  <c r="W83" i="83"/>
  <c r="AS83" i="83" s="1"/>
  <c r="E76" i="76" s="1"/>
  <c r="AC65" i="83"/>
  <c r="AY65" i="83" s="1"/>
  <c r="K58" i="76" s="1"/>
  <c r="AD65" i="83"/>
  <c r="AZ65" i="83" s="1"/>
  <c r="L58" i="76" s="1"/>
  <c r="Y7" i="83"/>
  <c r="AU41" i="83" s="1"/>
  <c r="G32" i="76" s="1"/>
  <c r="X7" i="83"/>
  <c r="AT41" i="83" s="1"/>
  <c r="F32" i="76" s="1"/>
  <c r="AD7" i="83"/>
  <c r="AZ41" i="83" s="1"/>
  <c r="L32" i="76" s="1"/>
  <c r="AE7" i="83"/>
  <c r="BA41" i="83" s="1"/>
  <c r="M32" i="76" s="1"/>
  <c r="Y66" i="83"/>
  <c r="AU66" i="83" s="1"/>
  <c r="G59" i="76" s="1"/>
  <c r="Y64" i="74"/>
  <c r="W88" i="72" s="1"/>
  <c r="W65" i="83"/>
  <c r="AS65" i="83" s="1"/>
  <c r="E58" i="76" s="1"/>
  <c r="AB65" i="83"/>
  <c r="AX65" i="83" s="1"/>
  <c r="J58" i="76" s="1"/>
  <c r="V66" i="83"/>
  <c r="AR66" i="83" s="1"/>
  <c r="D59" i="76" s="1"/>
  <c r="AB7" i="83"/>
  <c r="AX41" i="83" s="1"/>
  <c r="J32" i="76" s="1"/>
  <c r="AF7" i="83"/>
  <c r="BB41" i="83" s="1"/>
  <c r="N32" i="76" s="1"/>
  <c r="AH65" i="83"/>
  <c r="BD65" i="83" s="1"/>
  <c r="P58" i="76" s="1"/>
  <c r="AF65" i="83"/>
  <c r="BB65" i="83" s="1"/>
  <c r="N58" i="76" s="1"/>
  <c r="U7" i="83"/>
  <c r="AQ41" i="83" s="1"/>
  <c r="C32" i="76" s="1"/>
  <c r="V7" i="83"/>
  <c r="AR41" i="83" s="1"/>
  <c r="D32" i="76" s="1"/>
  <c r="W7" i="83"/>
  <c r="AS41" i="83" s="1"/>
  <c r="E32" i="76" s="1"/>
  <c r="X63" i="74"/>
  <c r="V87" i="72" s="1"/>
  <c r="AE66" i="83"/>
  <c r="BA66" i="83" s="1"/>
  <c r="M59" i="76" s="1"/>
  <c r="AA66" i="83"/>
  <c r="AW66" i="83" s="1"/>
  <c r="I59" i="76" s="1"/>
  <c r="AH66" i="83"/>
  <c r="BD66" i="83" s="1"/>
  <c r="P59" i="76" s="1"/>
  <c r="AA65" i="83"/>
  <c r="AW65" i="83" s="1"/>
  <c r="I58" i="76" s="1"/>
  <c r="AE65" i="83"/>
  <c r="BA65" i="83" s="1"/>
  <c r="M58" i="76" s="1"/>
  <c r="AG65" i="83"/>
  <c r="BC65" i="83" s="1"/>
  <c r="O58" i="76" s="1"/>
  <c r="X65" i="83"/>
  <c r="AT65" i="83" s="1"/>
  <c r="F58" i="76" s="1"/>
  <c r="AD66" i="83"/>
  <c r="AZ66" i="83" s="1"/>
  <c r="L59" i="76" s="1"/>
  <c r="AD10" i="83"/>
  <c r="AZ8" i="83" s="1"/>
  <c r="L8" i="76" s="1"/>
  <c r="AC10" i="83"/>
  <c r="AY8" i="83" s="1"/>
  <c r="K8" i="76" s="1"/>
  <c r="AB66" i="83"/>
  <c r="AX66" i="83" s="1"/>
  <c r="J59" i="76" s="1"/>
  <c r="Q46" i="83"/>
  <c r="U66" i="83"/>
  <c r="AQ66" i="83" s="1"/>
  <c r="C59" i="76" s="1"/>
  <c r="Q42" i="83"/>
  <c r="AI66" i="83"/>
  <c r="BE66" i="83" s="1"/>
  <c r="Q59" i="76" s="1"/>
  <c r="W66" i="83"/>
  <c r="AS66" i="83" s="1"/>
  <c r="E59" i="76" s="1"/>
  <c r="W10" i="83"/>
  <c r="AS8" i="83" s="1"/>
  <c r="E8" i="76" s="1"/>
  <c r="AA10" i="83"/>
  <c r="AW8" i="83" s="1"/>
  <c r="I8" i="76" s="1"/>
  <c r="AC66" i="83"/>
  <c r="AY66" i="83" s="1"/>
  <c r="K59" i="76" s="1"/>
  <c r="V65" i="83"/>
  <c r="AR65" i="83" s="1"/>
  <c r="D58" i="76" s="1"/>
  <c r="Z65" i="83"/>
  <c r="AV65" i="83" s="1"/>
  <c r="H58" i="76" s="1"/>
  <c r="AI65" i="83"/>
  <c r="BE65" i="83" s="1"/>
  <c r="Q58" i="76" s="1"/>
  <c r="AJ65" i="83"/>
  <c r="BF65" i="83" s="1"/>
  <c r="R58" i="76" s="1"/>
  <c r="AF66" i="83"/>
  <c r="BB66" i="83" s="1"/>
  <c r="N59" i="76" s="1"/>
  <c r="Z66" i="83"/>
  <c r="AV66" i="83" s="1"/>
  <c r="H59" i="76" s="1"/>
  <c r="AB10" i="83"/>
  <c r="AX8" i="83" s="1"/>
  <c r="J8" i="76" s="1"/>
  <c r="U10" i="83"/>
  <c r="AQ8" i="83" s="1"/>
  <c r="C8" i="76" s="1"/>
  <c r="AG66" i="83"/>
  <c r="BC66" i="83" s="1"/>
  <c r="O59" i="76" s="1"/>
  <c r="Q44" i="83"/>
  <c r="AI73" i="83"/>
  <c r="BE73" i="83" s="1"/>
  <c r="Q66" i="76" s="1"/>
  <c r="V10" i="83"/>
  <c r="AR8" i="83" s="1"/>
  <c r="D8" i="76" s="1"/>
  <c r="Y10" i="83"/>
  <c r="AU8" i="83" s="1"/>
  <c r="G8" i="76" s="1"/>
  <c r="X8" i="83"/>
  <c r="AT7" i="83" s="1"/>
  <c r="F7" i="76" s="1"/>
  <c r="AA8" i="83"/>
  <c r="AW7" i="83" s="1"/>
  <c r="I7" i="76" s="1"/>
  <c r="AB73" i="83"/>
  <c r="AX73" i="83" s="1"/>
  <c r="J66" i="76" s="1"/>
  <c r="X10" i="83"/>
  <c r="AT8" i="83" s="1"/>
  <c r="F8" i="76" s="1"/>
  <c r="Z10" i="83"/>
  <c r="AV8" i="83" s="1"/>
  <c r="H8" i="76" s="1"/>
  <c r="W8" i="83"/>
  <c r="AS7" i="83" s="1"/>
  <c r="E7" i="76" s="1"/>
  <c r="Z73" i="83"/>
  <c r="AV73" i="83" s="1"/>
  <c r="H66" i="76" s="1"/>
  <c r="AC82" i="83"/>
  <c r="AY82" i="83" s="1"/>
  <c r="K75" i="76" s="1"/>
  <c r="AA82" i="83"/>
  <c r="AW82" i="83" s="1"/>
  <c r="I75" i="76" s="1"/>
  <c r="AC73" i="83"/>
  <c r="AY73" i="83" s="1"/>
  <c r="K66" i="76" s="1"/>
  <c r="AF73" i="83"/>
  <c r="BB73" i="83" s="1"/>
  <c r="N66" i="76" s="1"/>
  <c r="X73" i="83"/>
  <c r="AT73" i="83" s="1"/>
  <c r="F66" i="76" s="1"/>
  <c r="AJ73" i="83"/>
  <c r="BF73" i="83" s="1"/>
  <c r="R66" i="76" s="1"/>
  <c r="Y82" i="83"/>
  <c r="AU82" i="83" s="1"/>
  <c r="G75" i="76" s="1"/>
  <c r="Y73" i="83"/>
  <c r="AU73" i="83" s="1"/>
  <c r="G66" i="76" s="1"/>
  <c r="W73" i="83"/>
  <c r="AS73" i="83" s="1"/>
  <c r="E66" i="76" s="1"/>
  <c r="AH73" i="83"/>
  <c r="BD73" i="83" s="1"/>
  <c r="P66" i="76" s="1"/>
  <c r="AK65" i="83"/>
  <c r="BG65" i="83" s="1"/>
  <c r="S58" i="76" s="1"/>
  <c r="AG73" i="83"/>
  <c r="BC73" i="83" s="1"/>
  <c r="O66" i="76" s="1"/>
  <c r="AF8" i="83"/>
  <c r="BB7" i="83" s="1"/>
  <c r="N7" i="76" s="1"/>
  <c r="U73" i="83"/>
  <c r="AQ73" i="83" s="1"/>
  <c r="C66" i="76" s="1"/>
  <c r="AE73" i="83"/>
  <c r="BA73" i="83" s="1"/>
  <c r="M66" i="76" s="1"/>
  <c r="AA73" i="83"/>
  <c r="AW73" i="83" s="1"/>
  <c r="I66" i="76" s="1"/>
  <c r="AJ82" i="83"/>
  <c r="BF82" i="83" s="1"/>
  <c r="R75" i="76" s="1"/>
  <c r="AH82" i="83"/>
  <c r="BD82" i="83" s="1"/>
  <c r="P75" i="76" s="1"/>
  <c r="U82" i="83"/>
  <c r="AQ82" i="83" s="1"/>
  <c r="C75" i="76" s="1"/>
  <c r="X82" i="83"/>
  <c r="AT82" i="83" s="1"/>
  <c r="F75" i="76" s="1"/>
  <c r="AI82" i="83"/>
  <c r="BE82" i="83" s="1"/>
  <c r="Q75" i="76" s="1"/>
  <c r="AF82" i="83"/>
  <c r="BB82" i="83" s="1"/>
  <c r="N75" i="76" s="1"/>
  <c r="V82" i="83"/>
  <c r="AR82" i="83" s="1"/>
  <c r="D75" i="76" s="1"/>
  <c r="Z82" i="83"/>
  <c r="AV82" i="83" s="1"/>
  <c r="H75" i="76" s="1"/>
  <c r="W82" i="83"/>
  <c r="AS82" i="83" s="1"/>
  <c r="E75" i="76" s="1"/>
  <c r="AB82" i="83"/>
  <c r="AX82" i="83" s="1"/>
  <c r="J75" i="76" s="1"/>
  <c r="AD82" i="83"/>
  <c r="AZ82" i="83" s="1"/>
  <c r="L75" i="76" s="1"/>
  <c r="AK82" i="83"/>
  <c r="BG82" i="83" s="1"/>
  <c r="S75" i="76" s="1"/>
  <c r="AG82" i="83"/>
  <c r="BC82" i="83" s="1"/>
  <c r="O75" i="76" s="1"/>
  <c r="AG74" i="83"/>
  <c r="BC74" i="83" s="1"/>
  <c r="O67" i="76" s="1"/>
  <c r="AA9" i="83"/>
  <c r="AW42" i="83" s="1"/>
  <c r="I33" i="76" s="1"/>
  <c r="X74" i="83"/>
  <c r="AT74" i="83" s="1"/>
  <c r="F67" i="76" s="1"/>
  <c r="AD74" i="83"/>
  <c r="AZ74" i="83" s="1"/>
  <c r="L67" i="76" s="1"/>
  <c r="AF74" i="83"/>
  <c r="BB74" i="83" s="1"/>
  <c r="N67" i="76" s="1"/>
  <c r="AI74" i="83"/>
  <c r="BE74" i="83" s="1"/>
  <c r="Q67" i="76" s="1"/>
  <c r="AC74" i="83"/>
  <c r="AY74" i="83" s="1"/>
  <c r="K67" i="76" s="1"/>
  <c r="Z74" i="83"/>
  <c r="AV74" i="83" s="1"/>
  <c r="H67" i="76" s="1"/>
  <c r="AE74" i="83"/>
  <c r="BA74" i="83" s="1"/>
  <c r="M67" i="76" s="1"/>
  <c r="AD11" i="83"/>
  <c r="AZ43" i="83" s="1"/>
  <c r="L34" i="76" s="1"/>
  <c r="V9" i="83"/>
  <c r="AR42" i="83" s="1"/>
  <c r="D33" i="76" s="1"/>
  <c r="U9" i="83"/>
  <c r="AQ42" i="83" s="1"/>
  <c r="C33" i="76" s="1"/>
  <c r="AF9" i="83"/>
  <c r="BB42" i="83" s="1"/>
  <c r="N33" i="76" s="1"/>
  <c r="AE11" i="83"/>
  <c r="BA43" i="83" s="1"/>
  <c r="M34" i="76" s="1"/>
  <c r="Y11" i="83"/>
  <c r="AU43" i="83" s="1"/>
  <c r="G34" i="76" s="1"/>
  <c r="AF11" i="83"/>
  <c r="BB43" i="83" s="1"/>
  <c r="N34" i="76" s="1"/>
  <c r="AD8" i="83"/>
  <c r="AZ7" i="83" s="1"/>
  <c r="L7" i="76" s="1"/>
  <c r="V8" i="83"/>
  <c r="AR7" i="83" s="1"/>
  <c r="D7" i="76" s="1"/>
  <c r="Y8" i="83"/>
  <c r="AU7" i="83" s="1"/>
  <c r="G7" i="76" s="1"/>
  <c r="AB8" i="83"/>
  <c r="AX7" i="83" s="1"/>
  <c r="J7" i="76" s="1"/>
  <c r="Z8" i="83"/>
  <c r="AV7" i="83" s="1"/>
  <c r="H7" i="76" s="1"/>
  <c r="AY22" i="83"/>
  <c r="K24" i="76" s="1"/>
  <c r="AZ16" i="83"/>
  <c r="L17" i="76" s="1"/>
  <c r="BB51" i="83"/>
  <c r="N43" i="76" s="1"/>
  <c r="AE48" i="83"/>
  <c r="BA51" i="83"/>
  <c r="M43" i="76" s="1"/>
  <c r="V31" i="83"/>
  <c r="AE31" i="83"/>
  <c r="U31" i="83"/>
  <c r="AA31" i="83"/>
  <c r="Z31" i="83"/>
  <c r="X31" i="83"/>
  <c r="W31" i="83"/>
  <c r="Y31" i="83"/>
  <c r="AF31" i="83"/>
  <c r="AC31" i="83"/>
  <c r="AD31" i="83"/>
  <c r="AB31" i="83"/>
  <c r="R42" i="83"/>
  <c r="S17" i="83"/>
  <c r="AE6" i="83"/>
  <c r="AA6" i="83"/>
  <c r="AC6" i="83"/>
  <c r="Z6" i="83"/>
  <c r="AT51" i="83"/>
  <c r="F43" i="76" s="1"/>
  <c r="X48" i="83"/>
  <c r="AC48" i="83"/>
  <c r="AY51" i="83"/>
  <c r="K43" i="76" s="1"/>
  <c r="AX16" i="83"/>
  <c r="J17" i="76" s="1"/>
  <c r="Q41" i="83"/>
  <c r="X30" i="83"/>
  <c r="Z30" i="83"/>
  <c r="V30" i="83"/>
  <c r="U30" i="83"/>
  <c r="AB6" i="83"/>
  <c r="AD6" i="83"/>
  <c r="Z9" i="83"/>
  <c r="AV42" i="83" s="1"/>
  <c r="H33" i="76" s="1"/>
  <c r="W9" i="83"/>
  <c r="AS42" i="83" s="1"/>
  <c r="E33" i="76" s="1"/>
  <c r="X9" i="83"/>
  <c r="AT42" i="83" s="1"/>
  <c r="F33" i="76" s="1"/>
  <c r="Y9" i="83"/>
  <c r="AU42" i="83" s="1"/>
  <c r="G33" i="76" s="1"/>
  <c r="S16" i="83"/>
  <c r="AC16" i="83" s="1"/>
  <c r="AL64" i="83"/>
  <c r="AM64" i="83" s="1"/>
  <c r="AM76" i="83" s="1"/>
  <c r="BI76" i="83" s="1"/>
  <c r="U69" i="76" s="1"/>
  <c r="AK67" i="83"/>
  <c r="BG67" i="83" s="1"/>
  <c r="S60" i="76" s="1"/>
  <c r="AK66" i="83"/>
  <c r="BG66" i="83" s="1"/>
  <c r="S59" i="76" s="1"/>
  <c r="AK68" i="83"/>
  <c r="BG68" i="83" s="1"/>
  <c r="S61" i="76" s="1"/>
  <c r="AK73" i="83"/>
  <c r="BG73" i="83" s="1"/>
  <c r="S66" i="76" s="1"/>
  <c r="AK76" i="83"/>
  <c r="BG76" i="83" s="1"/>
  <c r="S69" i="76" s="1"/>
  <c r="AU51" i="83"/>
  <c r="G43" i="76" s="1"/>
  <c r="Y48" i="83"/>
  <c r="U48" i="83"/>
  <c r="AQ51" i="83"/>
  <c r="C43" i="76" s="1"/>
  <c r="AS51" i="83"/>
  <c r="E43" i="76" s="1"/>
  <c r="W48" i="83"/>
  <c r="R44" i="83"/>
  <c r="S19" i="83"/>
  <c r="Q45" i="83"/>
  <c r="Y26" i="83"/>
  <c r="AA26" i="83"/>
  <c r="X26" i="83"/>
  <c r="V26" i="83"/>
  <c r="W26" i="83"/>
  <c r="Z26" i="83"/>
  <c r="AD26" i="83"/>
  <c r="U26" i="83"/>
  <c r="AE26" i="83"/>
  <c r="AC26" i="83"/>
  <c r="AB26" i="83"/>
  <c r="AF26" i="83"/>
  <c r="AD30" i="83"/>
  <c r="AE30" i="83"/>
  <c r="AA30" i="83"/>
  <c r="Y30" i="83"/>
  <c r="X6" i="83"/>
  <c r="U6" i="83"/>
  <c r="W11" i="83"/>
  <c r="AS43" i="83" s="1"/>
  <c r="E34" i="76" s="1"/>
  <c r="AC11" i="83"/>
  <c r="AY43" i="83" s="1"/>
  <c r="K34" i="76" s="1"/>
  <c r="U11" i="83"/>
  <c r="AQ43" i="83" s="1"/>
  <c r="C34" i="76" s="1"/>
  <c r="V11" i="83"/>
  <c r="AR43" i="83" s="1"/>
  <c r="D34" i="76" s="1"/>
  <c r="X11" i="83"/>
  <c r="AT43" i="83" s="1"/>
  <c r="F34" i="76" s="1"/>
  <c r="AJ74" i="83"/>
  <c r="BF74" i="83" s="1"/>
  <c r="R67" i="76" s="1"/>
  <c r="W74" i="83"/>
  <c r="AS74" i="83" s="1"/>
  <c r="E67" i="76" s="1"/>
  <c r="V74" i="83"/>
  <c r="AR74" i="83" s="1"/>
  <c r="D67" i="76" s="1"/>
  <c r="U74" i="83"/>
  <c r="AQ74" i="83" s="1"/>
  <c r="C67" i="76" s="1"/>
  <c r="AK74" i="83"/>
  <c r="BG74" i="83" s="1"/>
  <c r="S67" i="76" s="1"/>
  <c r="AK75" i="83"/>
  <c r="BG75" i="83" s="1"/>
  <c r="S68" i="76" s="1"/>
  <c r="AE9" i="83"/>
  <c r="BA42" i="83" s="1"/>
  <c r="M33" i="76" s="1"/>
  <c r="AB9" i="83"/>
  <c r="AX42" i="83" s="1"/>
  <c r="J33" i="76" s="1"/>
  <c r="AD9" i="83"/>
  <c r="AZ42" i="83" s="1"/>
  <c r="L33" i="76" s="1"/>
  <c r="S20" i="83"/>
  <c r="X20" i="83" s="1"/>
  <c r="AK81" i="83"/>
  <c r="BG81" i="83" s="1"/>
  <c r="S74" i="76" s="1"/>
  <c r="V48" i="83"/>
  <c r="AR51" i="83"/>
  <c r="D43" i="76" s="1"/>
  <c r="AX51" i="83"/>
  <c r="J43" i="76" s="1"/>
  <c r="AB48" i="83"/>
  <c r="AZ51" i="83"/>
  <c r="L43" i="76" s="1"/>
  <c r="AD48" i="83"/>
  <c r="Z48" i="83"/>
  <c r="AV51" i="83"/>
  <c r="H43" i="76" s="1"/>
  <c r="AA48" i="83"/>
  <c r="AW51" i="83"/>
  <c r="I43" i="76" s="1"/>
  <c r="R46" i="83"/>
  <c r="S21" i="83"/>
  <c r="AY16" i="83"/>
  <c r="K17" i="76" s="1"/>
  <c r="AG5" i="83"/>
  <c r="AF13" i="83"/>
  <c r="BB44" i="83" s="1"/>
  <c r="N35" i="76" s="1"/>
  <c r="AF12" i="83"/>
  <c r="BB9" i="83" s="1"/>
  <c r="N9" i="76" s="1"/>
  <c r="AF32" i="83"/>
  <c r="Q43" i="83"/>
  <c r="S18" i="83"/>
  <c r="AA18" i="83" s="1"/>
  <c r="W30" i="83"/>
  <c r="AB30" i="83"/>
  <c r="AF30" i="83"/>
  <c r="W6" i="83"/>
  <c r="AF6" i="83"/>
  <c r="Y6" i="83"/>
  <c r="V6" i="83"/>
  <c r="Z11" i="83"/>
  <c r="AV43" i="83" s="1"/>
  <c r="H34" i="76" s="1"/>
  <c r="AA11" i="83"/>
  <c r="AW43" i="83" s="1"/>
  <c r="I34" i="76" s="1"/>
  <c r="AB33" i="83"/>
  <c r="Z33" i="83"/>
  <c r="Y33" i="83"/>
  <c r="X33" i="83"/>
  <c r="U33" i="83"/>
  <c r="AA33" i="83"/>
  <c r="V33" i="83"/>
  <c r="AF33" i="83"/>
  <c r="AE33" i="83"/>
  <c r="AD33" i="83"/>
  <c r="AC33" i="83"/>
  <c r="W33" i="83"/>
  <c r="AK83" i="83"/>
  <c r="BG83" i="83" s="1"/>
  <c r="S76" i="76" s="1"/>
  <c r="AB74" i="83"/>
  <c r="AX74" i="83" s="1"/>
  <c r="J67" i="76" s="1"/>
  <c r="AH74" i="83"/>
  <c r="BD74" i="83" s="1"/>
  <c r="P67" i="76" s="1"/>
  <c r="AA74" i="83"/>
  <c r="AW74" i="83" s="1"/>
  <c r="I67" i="76" s="1"/>
  <c r="AK84" i="83"/>
  <c r="BG84" i="83" s="1"/>
  <c r="S77" i="76" s="1"/>
  <c r="AB59" i="83" l="1"/>
  <c r="AM68" i="83"/>
  <c r="BI68" i="83" s="1"/>
  <c r="U61" i="76" s="1"/>
  <c r="X23" i="74" s="1"/>
  <c r="V81" i="72" s="1"/>
  <c r="AM66" i="83"/>
  <c r="BI66" i="83" s="1"/>
  <c r="U59" i="76" s="1"/>
  <c r="X21" i="74" s="1"/>
  <c r="V79" i="72" s="1"/>
  <c r="AM67" i="83"/>
  <c r="BI67" i="83" s="1"/>
  <c r="U60" i="76" s="1"/>
  <c r="X22" i="74" s="1"/>
  <c r="V80" i="72" s="1"/>
  <c r="AM75" i="83"/>
  <c r="BI75" i="83" s="1"/>
  <c r="U68" i="76" s="1"/>
  <c r="AM65" i="83"/>
  <c r="BI65" i="83" s="1"/>
  <c r="U58" i="76" s="1"/>
  <c r="X20" i="74" s="1"/>
  <c r="V78" i="72" s="1"/>
  <c r="AM74" i="83"/>
  <c r="BI74" i="83" s="1"/>
  <c r="U67" i="76" s="1"/>
  <c r="AN64" i="83"/>
  <c r="AM84" i="83"/>
  <c r="BI84" i="83" s="1"/>
  <c r="U77" i="76" s="1"/>
  <c r="AM73" i="83"/>
  <c r="BI73" i="83" s="1"/>
  <c r="U66" i="76" s="1"/>
  <c r="AM82" i="83"/>
  <c r="BI82" i="83" s="1"/>
  <c r="U75" i="76" s="1"/>
  <c r="AM83" i="83"/>
  <c r="BI83" i="83" s="1"/>
  <c r="U76" i="76" s="1"/>
  <c r="AM81" i="83"/>
  <c r="BI81" i="83" s="1"/>
  <c r="U74" i="76" s="1"/>
  <c r="Z47" i="74"/>
  <c r="Y28" i="54" s="1"/>
  <c r="AD28" i="83"/>
  <c r="AD55" i="83" s="1"/>
  <c r="V28" i="83"/>
  <c r="AR21" i="83" s="1"/>
  <c r="D23" i="76" s="1"/>
  <c r="X28" i="83"/>
  <c r="AT21" i="83" s="1"/>
  <c r="F23" i="76" s="1"/>
  <c r="Y63" i="74"/>
  <c r="W87" i="72" s="1"/>
  <c r="U27" i="83"/>
  <c r="AQ55" i="83" s="1"/>
  <c r="C48" i="76" s="1"/>
  <c r="Y39" i="74"/>
  <c r="AC27" i="83"/>
  <c r="AC54" i="83" s="1"/>
  <c r="Y28" i="83"/>
  <c r="AU21" i="83" s="1"/>
  <c r="G23" i="76" s="1"/>
  <c r="U28" i="83"/>
  <c r="U55" i="83" s="1"/>
  <c r="AE28" i="83"/>
  <c r="AE55" i="83" s="1"/>
  <c r="AF28" i="83"/>
  <c r="AF55" i="83" s="1"/>
  <c r="J31" i="84"/>
  <c r="J33" i="84" s="1"/>
  <c r="J24" i="84"/>
  <c r="O11" i="84"/>
  <c r="AB28" i="83"/>
  <c r="AB55" i="83" s="1"/>
  <c r="Z28" i="83"/>
  <c r="AV21" i="83" s="1"/>
  <c r="H23" i="76" s="1"/>
  <c r="AC28" i="83"/>
  <c r="AC55" i="83" s="1"/>
  <c r="AA28" i="83"/>
  <c r="AW21" i="83" s="1"/>
  <c r="I23" i="76" s="1"/>
  <c r="X29" i="83"/>
  <c r="AT56" i="83" s="1"/>
  <c r="F49" i="76" s="1"/>
  <c r="U29" i="83"/>
  <c r="AQ56" i="83" s="1"/>
  <c r="C49" i="76" s="1"/>
  <c r="X27" i="83"/>
  <c r="AT55" i="83" s="1"/>
  <c r="F48" i="76" s="1"/>
  <c r="AE27" i="83"/>
  <c r="AE54" i="83" s="1"/>
  <c r="AB27" i="83"/>
  <c r="AX55" i="83" s="1"/>
  <c r="J48" i="76" s="1"/>
  <c r="AD27" i="83"/>
  <c r="AZ55" i="83" s="1"/>
  <c r="L48" i="76" s="1"/>
  <c r="AA27" i="83"/>
  <c r="AA54" i="83" s="1"/>
  <c r="AF27" i="83"/>
  <c r="BB55" i="83" s="1"/>
  <c r="N48" i="76" s="1"/>
  <c r="Y27" i="83"/>
  <c r="Y54" i="83" s="1"/>
  <c r="W27" i="83"/>
  <c r="W54" i="83" s="1"/>
  <c r="Z27" i="83"/>
  <c r="Z54" i="83" s="1"/>
  <c r="V27" i="83"/>
  <c r="AR55" i="83" s="1"/>
  <c r="D48" i="76" s="1"/>
  <c r="AE29" i="83"/>
  <c r="BA56" i="83" s="1"/>
  <c r="M49" i="76" s="1"/>
  <c r="AC29" i="83"/>
  <c r="AC56" i="83" s="1"/>
  <c r="AD29" i="83"/>
  <c r="AZ56" i="83" s="1"/>
  <c r="L49" i="76" s="1"/>
  <c r="AA29" i="83"/>
  <c r="AW56" i="83" s="1"/>
  <c r="I49" i="76" s="1"/>
  <c r="V29" i="83"/>
  <c r="AR56" i="83" s="1"/>
  <c r="D49" i="76" s="1"/>
  <c r="AF29" i="83"/>
  <c r="BB56" i="83" s="1"/>
  <c r="N49" i="76" s="1"/>
  <c r="W29" i="83"/>
  <c r="AS56" i="83" s="1"/>
  <c r="E49" i="76" s="1"/>
  <c r="Z29" i="83"/>
  <c r="AV56" i="83" s="1"/>
  <c r="H49" i="76" s="1"/>
  <c r="Y29" i="83"/>
  <c r="Y56" i="83" s="1"/>
  <c r="AB29" i="83"/>
  <c r="AX56" i="83" s="1"/>
  <c r="J49" i="76" s="1"/>
  <c r="X59" i="83"/>
  <c r="AB47" i="83"/>
  <c r="AD47" i="83"/>
  <c r="Z37" i="74"/>
  <c r="Y14" i="62" s="1"/>
  <c r="Y59" i="83"/>
  <c r="AD59" i="83"/>
  <c r="AZ23" i="83"/>
  <c r="L25" i="76" s="1"/>
  <c r="AU23" i="83"/>
  <c r="G25" i="76" s="1"/>
  <c r="W59" i="83"/>
  <c r="AX23" i="83"/>
  <c r="J25" i="76" s="1"/>
  <c r="Y47" i="83"/>
  <c r="W47" i="83"/>
  <c r="AQ23" i="83"/>
  <c r="C25" i="76" s="1"/>
  <c r="Z47" i="83"/>
  <c r="U47" i="83"/>
  <c r="Y61" i="74"/>
  <c r="W85" i="72" s="1"/>
  <c r="AC47" i="83"/>
  <c r="V59" i="83"/>
  <c r="AC59" i="83"/>
  <c r="Z61" i="74"/>
  <c r="V47" i="83"/>
  <c r="X47" i="83"/>
  <c r="AE59" i="83"/>
  <c r="Z59" i="83"/>
  <c r="AE47" i="83"/>
  <c r="AA59" i="83"/>
  <c r="AY23" i="83"/>
  <c r="K25" i="76" s="1"/>
  <c r="AA47" i="83"/>
  <c r="Z62" i="74"/>
  <c r="X86" i="72" s="1"/>
  <c r="X62" i="74"/>
  <c r="V86" i="72" s="1"/>
  <c r="Z64" i="74"/>
  <c r="X88" i="72" s="1"/>
  <c r="AC57" i="83"/>
  <c r="Z48" i="74"/>
  <c r="X16" i="54"/>
  <c r="Z38" i="74"/>
  <c r="Z45" i="74"/>
  <c r="Z63" i="74"/>
  <c r="X87" i="72" s="1"/>
  <c r="Y40" i="74"/>
  <c r="Y62" i="74"/>
  <c r="Y38" i="74"/>
  <c r="Z40" i="74"/>
  <c r="X61" i="74"/>
  <c r="W55" i="83"/>
  <c r="X48" i="74"/>
  <c r="X96" i="74" s="1"/>
  <c r="X45" i="74"/>
  <c r="X37" i="74"/>
  <c r="X40" i="74"/>
  <c r="AG33" i="83"/>
  <c r="BC58" i="83" s="1"/>
  <c r="O51" i="76" s="1"/>
  <c r="AG31" i="83"/>
  <c r="BC57" i="83" s="1"/>
  <c r="O50" i="76" s="1"/>
  <c r="AG26" i="83"/>
  <c r="BC20" i="83" s="1"/>
  <c r="O22" i="76" s="1"/>
  <c r="AG6" i="83"/>
  <c r="BC6" i="83" s="1"/>
  <c r="O6" i="76" s="1"/>
  <c r="AG29" i="83"/>
  <c r="BC56" i="83" s="1"/>
  <c r="O49" i="76" s="1"/>
  <c r="AF18" i="83"/>
  <c r="AF43" i="83" s="1"/>
  <c r="W16" i="83"/>
  <c r="W41" i="83" s="1"/>
  <c r="Z16" i="83"/>
  <c r="Z41" i="83" s="1"/>
  <c r="X16" i="83"/>
  <c r="X41" i="83" s="1"/>
  <c r="Y16" i="83"/>
  <c r="AU13" i="83" s="1"/>
  <c r="G14" i="76" s="1"/>
  <c r="AD20" i="83"/>
  <c r="AZ15" i="83" s="1"/>
  <c r="L16" i="76" s="1"/>
  <c r="AC18" i="83"/>
  <c r="AC43" i="83" s="1"/>
  <c r="Y18" i="83"/>
  <c r="Y43" i="83" s="1"/>
  <c r="Z18" i="83"/>
  <c r="AV14" i="83" s="1"/>
  <c r="H15" i="76" s="1"/>
  <c r="W20" i="83"/>
  <c r="W45" i="83" s="1"/>
  <c r="Y20" i="83"/>
  <c r="AU15" i="83" s="1"/>
  <c r="G16" i="76" s="1"/>
  <c r="AF16" i="83"/>
  <c r="BB13" i="83" s="1"/>
  <c r="N14" i="76" s="1"/>
  <c r="AG16" i="83"/>
  <c r="AA20" i="83"/>
  <c r="AA45" i="83" s="1"/>
  <c r="AG18" i="83"/>
  <c r="BC14" i="83" s="1"/>
  <c r="O15" i="76" s="1"/>
  <c r="AE18" i="83"/>
  <c r="BA14" i="83" s="1"/>
  <c r="M15" i="76" s="1"/>
  <c r="AD18" i="83"/>
  <c r="AD43" i="83" s="1"/>
  <c r="AB20" i="83"/>
  <c r="AX15" i="83" s="1"/>
  <c r="J16" i="76" s="1"/>
  <c r="AC20" i="83"/>
  <c r="AC45" i="83" s="1"/>
  <c r="AB18" i="83"/>
  <c r="AB43" i="83" s="1"/>
  <c r="X18" i="83"/>
  <c r="AT14" i="83" s="1"/>
  <c r="F15" i="76" s="1"/>
  <c r="V20" i="83"/>
  <c r="V45" i="83" s="1"/>
  <c r="AE16" i="83"/>
  <c r="AE41" i="83" s="1"/>
  <c r="U16" i="83"/>
  <c r="U41" i="83" s="1"/>
  <c r="AC41" i="83"/>
  <c r="AY13" i="83"/>
  <c r="K14" i="76" s="1"/>
  <c r="BA58" i="83"/>
  <c r="M51" i="76" s="1"/>
  <c r="AE60" i="83"/>
  <c r="AW58" i="83"/>
  <c r="I51" i="76" s="1"/>
  <c r="AA60" i="83"/>
  <c r="V14" i="83"/>
  <c r="AR6" i="83"/>
  <c r="D6" i="76" s="1"/>
  <c r="AA43" i="83"/>
  <c r="AW14" i="83"/>
  <c r="I15" i="76" s="1"/>
  <c r="BB23" i="83"/>
  <c r="N25" i="76" s="1"/>
  <c r="AF59" i="83"/>
  <c r="U14" i="83"/>
  <c r="AQ6" i="83"/>
  <c r="C6" i="76" s="1"/>
  <c r="AC53" i="83"/>
  <c r="AY20" i="83"/>
  <c r="K22" i="76" s="1"/>
  <c r="AV20" i="83"/>
  <c r="H22" i="76" s="1"/>
  <c r="Z53" i="83"/>
  <c r="V53" i="83"/>
  <c r="AR20" i="83"/>
  <c r="D22" i="76" s="1"/>
  <c r="AT15" i="83"/>
  <c r="F16" i="76" s="1"/>
  <c r="X45" i="83"/>
  <c r="AZ6" i="83"/>
  <c r="L6" i="76" s="1"/>
  <c r="AD14" i="83"/>
  <c r="AB14" i="83"/>
  <c r="AX6" i="83"/>
  <c r="J6" i="76" s="1"/>
  <c r="AR22" i="83"/>
  <c r="D24" i="76" s="1"/>
  <c r="V57" i="83"/>
  <c r="AE14" i="83"/>
  <c r="BA6" i="83"/>
  <c r="M6" i="76" s="1"/>
  <c r="AB58" i="83"/>
  <c r="AX57" i="83"/>
  <c r="J50" i="76" s="1"/>
  <c r="Y58" i="83"/>
  <c r="AU57" i="83"/>
  <c r="G50" i="76" s="1"/>
  <c r="X58" i="83"/>
  <c r="AT57" i="83"/>
  <c r="F50" i="76" s="1"/>
  <c r="AS58" i="83"/>
  <c r="E51" i="76" s="1"/>
  <c r="W60" i="83"/>
  <c r="AF60" i="83"/>
  <c r="BB58" i="83"/>
  <c r="N51" i="76" s="1"/>
  <c r="U60" i="83"/>
  <c r="AQ58" i="83"/>
  <c r="C51" i="76" s="1"/>
  <c r="AU58" i="83"/>
  <c r="G51" i="76" s="1"/>
  <c r="Y60" i="83"/>
  <c r="Y14" i="83"/>
  <c r="AU6" i="83"/>
  <c r="G6" i="76" s="1"/>
  <c r="AB57" i="83"/>
  <c r="AX22" i="83"/>
  <c r="J24" i="76" s="1"/>
  <c r="AT6" i="83"/>
  <c r="F6" i="76" s="1"/>
  <c r="X14" i="83"/>
  <c r="Y57" i="83"/>
  <c r="AU22" i="83"/>
  <c r="G24" i="76" s="1"/>
  <c r="AD57" i="83"/>
  <c r="AZ22" i="83"/>
  <c r="L24" i="76" s="1"/>
  <c r="AE53" i="83"/>
  <c r="BA20" i="83"/>
  <c r="M22" i="76" s="1"/>
  <c r="X53" i="83"/>
  <c r="AT20" i="83"/>
  <c r="F22" i="76" s="1"/>
  <c r="AY21" i="83"/>
  <c r="K23" i="76" s="1"/>
  <c r="Z57" i="83"/>
  <c r="AV22" i="83"/>
  <c r="H24" i="76" s="1"/>
  <c r="X56" i="83"/>
  <c r="Z14" i="83"/>
  <c r="AV6" i="83"/>
  <c r="H6" i="76" s="1"/>
  <c r="AZ57" i="83"/>
  <c r="L50" i="76" s="1"/>
  <c r="AD58" i="83"/>
  <c r="W58" i="83"/>
  <c r="AS57" i="83"/>
  <c r="E50" i="76" s="1"/>
  <c r="AV57" i="83"/>
  <c r="H50" i="76" s="1"/>
  <c r="Z58" i="83"/>
  <c r="U58" i="83"/>
  <c r="AQ57" i="83"/>
  <c r="C50" i="76" s="1"/>
  <c r="AC60" i="83"/>
  <c r="AY58" i="83"/>
  <c r="K51" i="76" s="1"/>
  <c r="AT58" i="83"/>
  <c r="F51" i="76" s="1"/>
  <c r="X60" i="83"/>
  <c r="Z60" i="83"/>
  <c r="AV58" i="83"/>
  <c r="H51" i="76" s="1"/>
  <c r="AF14" i="83"/>
  <c r="BB6" i="83"/>
  <c r="N6" i="76" s="1"/>
  <c r="W57" i="83"/>
  <c r="AS22" i="83"/>
  <c r="E24" i="76" s="1"/>
  <c r="AW22" i="83"/>
  <c r="I24" i="76" s="1"/>
  <c r="AA57" i="83"/>
  <c r="AF53" i="83"/>
  <c r="BB20" i="83"/>
  <c r="N22" i="76" s="1"/>
  <c r="U53" i="83"/>
  <c r="AQ20" i="83"/>
  <c r="C22" i="76" s="1"/>
  <c r="W53" i="83"/>
  <c r="AS20" i="83"/>
  <c r="E22" i="76" s="1"/>
  <c r="AA53" i="83"/>
  <c r="AW20" i="83"/>
  <c r="I22" i="76" s="1"/>
  <c r="AF20" i="83"/>
  <c r="AG20" i="83"/>
  <c r="AL73" i="83"/>
  <c r="BH73" i="83" s="1"/>
  <c r="T66" i="76" s="1"/>
  <c r="AL82" i="83"/>
  <c r="BH82" i="83" s="1"/>
  <c r="T75" i="76" s="1"/>
  <c r="AL81" i="83"/>
  <c r="BH81" i="83" s="1"/>
  <c r="T74" i="76" s="1"/>
  <c r="AL68" i="83"/>
  <c r="BH68" i="83" s="1"/>
  <c r="T61" i="76" s="1"/>
  <c r="AL84" i="83"/>
  <c r="BH84" i="83" s="1"/>
  <c r="T77" i="76" s="1"/>
  <c r="AL76" i="83"/>
  <c r="BH76" i="83" s="1"/>
  <c r="T69" i="76" s="1"/>
  <c r="AL83" i="83"/>
  <c r="BH83" i="83" s="1"/>
  <c r="T76" i="76" s="1"/>
  <c r="AL74" i="83"/>
  <c r="BH74" i="83" s="1"/>
  <c r="T67" i="76" s="1"/>
  <c r="AL75" i="83"/>
  <c r="BH75" i="83" s="1"/>
  <c r="T68" i="76" s="1"/>
  <c r="AL67" i="83"/>
  <c r="BH67" i="83" s="1"/>
  <c r="T60" i="76" s="1"/>
  <c r="AL65" i="83"/>
  <c r="BH65" i="83" s="1"/>
  <c r="T58" i="76" s="1"/>
  <c r="AL66" i="83"/>
  <c r="BH66" i="83" s="1"/>
  <c r="T59" i="76" s="1"/>
  <c r="X57" i="83"/>
  <c r="AT22" i="83"/>
  <c r="F24" i="76" s="1"/>
  <c r="AY6" i="83"/>
  <c r="K6" i="76" s="1"/>
  <c r="AC14" i="83"/>
  <c r="AB17" i="83"/>
  <c r="Z17" i="83"/>
  <c r="AE17" i="83"/>
  <c r="AD17" i="83"/>
  <c r="X17" i="83"/>
  <c r="AG17" i="83"/>
  <c r="AA17" i="83"/>
  <c r="Y17" i="83"/>
  <c r="U17" i="83"/>
  <c r="W17" i="83"/>
  <c r="AF17" i="83"/>
  <c r="AC17" i="83"/>
  <c r="V17" i="83"/>
  <c r="AC58" i="83"/>
  <c r="AY57" i="83"/>
  <c r="K50" i="76" s="1"/>
  <c r="AE58" i="83"/>
  <c r="BA57" i="83"/>
  <c r="M50" i="76" s="1"/>
  <c r="AD60" i="83"/>
  <c r="AZ58" i="83"/>
  <c r="L51" i="76" s="1"/>
  <c r="V60" i="83"/>
  <c r="AR58" i="83"/>
  <c r="D51" i="76" s="1"/>
  <c r="AX58" i="83"/>
  <c r="J51" i="76" s="1"/>
  <c r="AB60" i="83"/>
  <c r="W14" i="83"/>
  <c r="AS6" i="83"/>
  <c r="E6" i="76" s="1"/>
  <c r="AF57" i="83"/>
  <c r="BB22" i="83"/>
  <c r="N24" i="76" s="1"/>
  <c r="W18" i="83"/>
  <c r="U18" i="83"/>
  <c r="V18" i="83"/>
  <c r="AH5" i="83"/>
  <c r="AH20" i="83" s="1"/>
  <c r="AG12" i="83"/>
  <c r="BC9" i="83" s="1"/>
  <c r="O9" i="76" s="1"/>
  <c r="AG13" i="83"/>
  <c r="BC44" i="83" s="1"/>
  <c r="O35" i="76" s="1"/>
  <c r="AG8" i="83"/>
  <c r="BC7" i="83" s="1"/>
  <c r="O7" i="76" s="1"/>
  <c r="AG32" i="83"/>
  <c r="AG10" i="83"/>
  <c r="BC8" i="83" s="1"/>
  <c r="O8" i="76" s="1"/>
  <c r="AG22" i="83"/>
  <c r="AG11" i="83"/>
  <c r="BC43" i="83" s="1"/>
  <c r="O34" i="76" s="1"/>
  <c r="AG30" i="83"/>
  <c r="AG23" i="83"/>
  <c r="AG7" i="83"/>
  <c r="BC41" i="83" s="1"/>
  <c r="O32" i="76" s="1"/>
  <c r="AG9" i="83"/>
  <c r="BC42" i="83" s="1"/>
  <c r="O33" i="76" s="1"/>
  <c r="X21" i="83"/>
  <c r="AG21" i="83"/>
  <c r="W21" i="83"/>
  <c r="AC21" i="83"/>
  <c r="AF21" i="83"/>
  <c r="AE21" i="83"/>
  <c r="AD21" i="83"/>
  <c r="AH21" i="83"/>
  <c r="Y21" i="83"/>
  <c r="AA21" i="83"/>
  <c r="Z21" i="83"/>
  <c r="U21" i="83"/>
  <c r="V21" i="83"/>
  <c r="AB21" i="83"/>
  <c r="BA22" i="83"/>
  <c r="M24" i="76" s="1"/>
  <c r="AE57" i="83"/>
  <c r="AB53" i="83"/>
  <c r="AX20" i="83"/>
  <c r="J22" i="76" s="1"/>
  <c r="AZ20" i="83"/>
  <c r="L22" i="76" s="1"/>
  <c r="AD53" i="83"/>
  <c r="Y53" i="83"/>
  <c r="AU20" i="83"/>
  <c r="G22" i="76" s="1"/>
  <c r="Z20" i="83"/>
  <c r="AE20" i="83"/>
  <c r="U20" i="83"/>
  <c r="AF47" i="83"/>
  <c r="AG28" i="83"/>
  <c r="AC19" i="83"/>
  <c r="AF19" i="83"/>
  <c r="AH19" i="83"/>
  <c r="Y19" i="83"/>
  <c r="AA19" i="83"/>
  <c r="AE19" i="83"/>
  <c r="X19" i="83"/>
  <c r="U19" i="83"/>
  <c r="V19" i="83"/>
  <c r="Z19" i="83"/>
  <c r="AG19" i="83"/>
  <c r="AB19" i="83"/>
  <c r="AD19" i="83"/>
  <c r="W19" i="83"/>
  <c r="AG27" i="83"/>
  <c r="U57" i="83"/>
  <c r="AQ22" i="83"/>
  <c r="C24" i="76" s="1"/>
  <c r="V16" i="83"/>
  <c r="AA16" i="83"/>
  <c r="AB16" i="83"/>
  <c r="AD16" i="83"/>
  <c r="U56" i="83"/>
  <c r="AA14" i="83"/>
  <c r="AW6" i="83"/>
  <c r="I6" i="76" s="1"/>
  <c r="AF58" i="83"/>
  <c r="BB57" i="83"/>
  <c r="N50" i="76" s="1"/>
  <c r="AA58" i="83"/>
  <c r="AW57" i="83"/>
  <c r="I50" i="76" s="1"/>
  <c r="AR57" i="83"/>
  <c r="D50" i="76" s="1"/>
  <c r="V58" i="83"/>
  <c r="AF48" i="83"/>
  <c r="X24" i="74" l="1"/>
  <c r="U70" i="76"/>
  <c r="U62" i="76"/>
  <c r="AZ21" i="83"/>
  <c r="L23" i="76" s="1"/>
  <c r="U78" i="76"/>
  <c r="AO64" i="83"/>
  <c r="AN75" i="83"/>
  <c r="BJ75" i="83" s="1"/>
  <c r="V68" i="76" s="1"/>
  <c r="AN66" i="83"/>
  <c r="BJ66" i="83" s="1"/>
  <c r="V59" i="76" s="1"/>
  <c r="Y21" i="74" s="1"/>
  <c r="W79" i="72" s="1"/>
  <c r="AN68" i="83"/>
  <c r="BJ68" i="83" s="1"/>
  <c r="V61" i="76" s="1"/>
  <c r="Y23" i="74" s="1"/>
  <c r="W81" i="72" s="1"/>
  <c r="AN76" i="83"/>
  <c r="BJ76" i="83" s="1"/>
  <c r="V69" i="76" s="1"/>
  <c r="AN81" i="83"/>
  <c r="BJ81" i="83" s="1"/>
  <c r="V74" i="76" s="1"/>
  <c r="AN83" i="83"/>
  <c r="BJ83" i="83" s="1"/>
  <c r="V76" i="76" s="1"/>
  <c r="AN74" i="83"/>
  <c r="BJ74" i="83" s="1"/>
  <c r="V67" i="76" s="1"/>
  <c r="AN82" i="83"/>
  <c r="BJ82" i="83" s="1"/>
  <c r="V75" i="76" s="1"/>
  <c r="AN84" i="83"/>
  <c r="BJ84" i="83" s="1"/>
  <c r="V77" i="76" s="1"/>
  <c r="AN67" i="83"/>
  <c r="BJ67" i="83" s="1"/>
  <c r="V60" i="76" s="1"/>
  <c r="Y22" i="74" s="1"/>
  <c r="W80" i="72" s="1"/>
  <c r="AN65" i="83"/>
  <c r="BJ65" i="83" s="1"/>
  <c r="V58" i="76" s="1"/>
  <c r="AN73" i="83"/>
  <c r="BJ73" i="83" s="1"/>
  <c r="V66" i="76" s="1"/>
  <c r="U54" i="83"/>
  <c r="V55" i="83"/>
  <c r="X38" i="74"/>
  <c r="V17" i="56" s="1"/>
  <c r="X47" i="74"/>
  <c r="W28" i="54" s="1"/>
  <c r="AB54" i="83"/>
  <c r="X55" i="83"/>
  <c r="Z56" i="83"/>
  <c r="AY55" i="83"/>
  <c r="K48" i="76" s="1"/>
  <c r="AA55" i="83"/>
  <c r="BA55" i="83"/>
  <c r="M48" i="76" s="1"/>
  <c r="AQ21" i="83"/>
  <c r="C23" i="76" s="1"/>
  <c r="AX21" i="83"/>
  <c r="J23" i="76" s="1"/>
  <c r="Y79" i="74"/>
  <c r="X28" i="70" s="1"/>
  <c r="BA21" i="83"/>
  <c r="M23" i="76" s="1"/>
  <c r="AE56" i="83"/>
  <c r="AY56" i="83"/>
  <c r="K49" i="76" s="1"/>
  <c r="BB21" i="83"/>
  <c r="N23" i="76" s="1"/>
  <c r="V56" i="83"/>
  <c r="AV55" i="83"/>
  <c r="H48" i="76" s="1"/>
  <c r="Y55" i="83"/>
  <c r="AS55" i="83"/>
  <c r="E48" i="76" s="1"/>
  <c r="J26" i="84"/>
  <c r="K13" i="84"/>
  <c r="P11" i="84"/>
  <c r="AB56" i="83"/>
  <c r="AW55" i="83"/>
  <c r="I48" i="76" s="1"/>
  <c r="Z55" i="83"/>
  <c r="X54" i="83"/>
  <c r="AF54" i="83"/>
  <c r="AA56" i="83"/>
  <c r="W56" i="83"/>
  <c r="AF56" i="83"/>
  <c r="AU55" i="83"/>
  <c r="G48" i="76" s="1"/>
  <c r="X16" i="72"/>
  <c r="V54" i="83"/>
  <c r="AU56" i="83"/>
  <c r="G49" i="76" s="1"/>
  <c r="AD54" i="83"/>
  <c r="AD56" i="83"/>
  <c r="BA13" i="83"/>
  <c r="M14" i="76" s="1"/>
  <c r="Y42" i="60"/>
  <c r="Y47" i="74"/>
  <c r="X28" i="54" s="1"/>
  <c r="BB14" i="83"/>
  <c r="N15" i="76" s="1"/>
  <c r="X16" i="56"/>
  <c r="Z53" i="74"/>
  <c r="X31" i="72" s="1"/>
  <c r="X47" i="72" s="1"/>
  <c r="Z77" i="74"/>
  <c r="Y14" i="70" s="1"/>
  <c r="AS15" i="83"/>
  <c r="E16" i="76" s="1"/>
  <c r="Y93" i="74"/>
  <c r="X25" i="77" s="1"/>
  <c r="AZ14" i="83"/>
  <c r="L15" i="76" s="1"/>
  <c r="Y48" i="74"/>
  <c r="X40" i="54" s="1"/>
  <c r="X85" i="72"/>
  <c r="W40" i="54"/>
  <c r="X38" i="62"/>
  <c r="Y80" i="74"/>
  <c r="X40" i="70" s="1"/>
  <c r="W19" i="56"/>
  <c r="X58" i="60"/>
  <c r="W19" i="72"/>
  <c r="Y16" i="54"/>
  <c r="Y38" i="62"/>
  <c r="Y58" i="60"/>
  <c r="X19" i="72"/>
  <c r="Z80" i="74"/>
  <c r="Y40" i="70" s="1"/>
  <c r="X19" i="56"/>
  <c r="Y45" i="83"/>
  <c r="Z93" i="74"/>
  <c r="Y25" i="77" s="1"/>
  <c r="Z39" i="74"/>
  <c r="Z79" i="74" s="1"/>
  <c r="Y28" i="70" s="1"/>
  <c r="W18" i="56"/>
  <c r="W18" i="72"/>
  <c r="X50" i="60"/>
  <c r="X26" i="62"/>
  <c r="Z95" i="74"/>
  <c r="V85" i="72"/>
  <c r="X65" i="74"/>
  <c r="W86" i="72"/>
  <c r="W16" i="54"/>
  <c r="X93" i="74"/>
  <c r="W25" i="77" s="1"/>
  <c r="V17" i="72"/>
  <c r="W46" i="60"/>
  <c r="X46" i="60"/>
  <c r="X20" i="62"/>
  <c r="W17" i="56"/>
  <c r="W17" i="72"/>
  <c r="Y78" i="74"/>
  <c r="X21" i="70" s="1"/>
  <c r="X17" i="56"/>
  <c r="Y20" i="62"/>
  <c r="X17" i="72"/>
  <c r="Z78" i="74"/>
  <c r="Y21" i="70" s="1"/>
  <c r="Y46" i="60"/>
  <c r="Z65" i="74"/>
  <c r="Y46" i="74"/>
  <c r="X22" i="54" s="1"/>
  <c r="Y40" i="54"/>
  <c r="Z96" i="74"/>
  <c r="Z56" i="74"/>
  <c r="Z46" i="74"/>
  <c r="V16" i="56"/>
  <c r="W42" i="60"/>
  <c r="V16" i="72"/>
  <c r="X53" i="74"/>
  <c r="W14" i="62"/>
  <c r="X77" i="74"/>
  <c r="W14" i="70" s="1"/>
  <c r="Y37" i="74"/>
  <c r="Y65" i="74"/>
  <c r="V19" i="56"/>
  <c r="X56" i="74"/>
  <c r="W58" i="60"/>
  <c r="X80" i="74"/>
  <c r="W40" i="70" s="1"/>
  <c r="W38" i="62"/>
  <c r="V19" i="72"/>
  <c r="X46" i="74"/>
  <c r="AY14" i="83"/>
  <c r="K15" i="76" s="1"/>
  <c r="AW15" i="83"/>
  <c r="I16" i="76" s="1"/>
  <c r="AT13" i="83"/>
  <c r="F14" i="76" s="1"/>
  <c r="AB45" i="83"/>
  <c r="AX14" i="83"/>
  <c r="J15" i="76" s="1"/>
  <c r="AQ13" i="83"/>
  <c r="C14" i="76" s="1"/>
  <c r="AG53" i="83"/>
  <c r="AH17" i="83"/>
  <c r="BD48" i="83" s="1"/>
  <c r="P40" i="76" s="1"/>
  <c r="Y41" i="83"/>
  <c r="AV13" i="83"/>
  <c r="H14" i="76" s="1"/>
  <c r="AG41" i="83"/>
  <c r="AU14" i="83"/>
  <c r="G15" i="76" s="1"/>
  <c r="AF41" i="83"/>
  <c r="AS13" i="83"/>
  <c r="E14" i="76" s="1"/>
  <c r="AD45" i="83"/>
  <c r="BC13" i="83"/>
  <c r="O14" i="76" s="1"/>
  <c r="AY15" i="83"/>
  <c r="K16" i="76" s="1"/>
  <c r="X43" i="83"/>
  <c r="X24" i="83"/>
  <c r="AE24" i="83"/>
  <c r="AC24" i="83"/>
  <c r="AR15" i="83"/>
  <c r="D16" i="76" s="1"/>
  <c r="AE43" i="83"/>
  <c r="Z43" i="83"/>
  <c r="Y24" i="83"/>
  <c r="AG47" i="83"/>
  <c r="BC16" i="83"/>
  <c r="O17" i="76" s="1"/>
  <c r="AG42" i="83"/>
  <c r="BC48" i="83"/>
  <c r="O40" i="76" s="1"/>
  <c r="BD49" i="83"/>
  <c r="P41" i="76" s="1"/>
  <c r="AR48" i="83"/>
  <c r="D40" i="76" s="1"/>
  <c r="V42" i="83"/>
  <c r="AR13" i="83"/>
  <c r="D14" i="76" s="1"/>
  <c r="V41" i="83"/>
  <c r="V24" i="83"/>
  <c r="AD44" i="83"/>
  <c r="AZ49" i="83"/>
  <c r="L41" i="76" s="1"/>
  <c r="Y44" i="83"/>
  <c r="AU49" i="83"/>
  <c r="G41" i="76" s="1"/>
  <c r="BB49" i="83"/>
  <c r="N41" i="76" s="1"/>
  <c r="AF44" i="83"/>
  <c r="AQ50" i="83"/>
  <c r="C42" i="76" s="1"/>
  <c r="U46" i="83"/>
  <c r="Y46" i="83"/>
  <c r="AU50" i="83"/>
  <c r="G42" i="76" s="1"/>
  <c r="BB50" i="83"/>
  <c r="N42" i="76" s="1"/>
  <c r="AF46" i="83"/>
  <c r="AG57" i="83"/>
  <c r="BC22" i="83"/>
  <c r="O24" i="76" s="1"/>
  <c r="V43" i="83"/>
  <c r="AR14" i="83"/>
  <c r="D15" i="76" s="1"/>
  <c r="AV48" i="83"/>
  <c r="H40" i="76" s="1"/>
  <c r="Z42" i="83"/>
  <c r="BD15" i="83"/>
  <c r="P16" i="76" s="1"/>
  <c r="AG56" i="83"/>
  <c r="AZ13" i="83"/>
  <c r="L14" i="76" s="1"/>
  <c r="AD41" i="83"/>
  <c r="AD24" i="83"/>
  <c r="AG54" i="83"/>
  <c r="BC55" i="83"/>
  <c r="O48" i="76" s="1"/>
  <c r="AX49" i="83"/>
  <c r="J41" i="76" s="1"/>
  <c r="AB44" i="83"/>
  <c r="AV49" i="83"/>
  <c r="H41" i="76" s="1"/>
  <c r="Z44" i="83"/>
  <c r="X44" i="83"/>
  <c r="AT49" i="83"/>
  <c r="F41" i="76" s="1"/>
  <c r="AC44" i="83"/>
  <c r="AY49" i="83"/>
  <c r="K41" i="76" s="1"/>
  <c r="AE45" i="83"/>
  <c r="BA15" i="83"/>
  <c r="M16" i="76" s="1"/>
  <c r="BD50" i="83"/>
  <c r="P42" i="76" s="1"/>
  <c r="AY50" i="83"/>
  <c r="K42" i="76" s="1"/>
  <c r="AC46" i="83"/>
  <c r="U43" i="83"/>
  <c r="AQ14" i="83"/>
  <c r="C15" i="76" s="1"/>
  <c r="AG60" i="83"/>
  <c r="AF42" i="83"/>
  <c r="BB48" i="83"/>
  <c r="N40" i="76" s="1"/>
  <c r="AQ48" i="83"/>
  <c r="C40" i="76" s="1"/>
  <c r="U42" i="83"/>
  <c r="AT48" i="83"/>
  <c r="F40" i="76" s="1"/>
  <c r="X42" i="83"/>
  <c r="U24" i="83"/>
  <c r="AG14" i="83"/>
  <c r="AG58" i="83"/>
  <c r="AB24" i="83"/>
  <c r="AB41" i="83"/>
  <c r="AX13" i="83"/>
  <c r="J14" i="76" s="1"/>
  <c r="V44" i="83"/>
  <c r="AR49" i="83"/>
  <c r="D41" i="76" s="1"/>
  <c r="BA49" i="83"/>
  <c r="M41" i="76" s="1"/>
  <c r="AE44" i="83"/>
  <c r="AG55" i="83"/>
  <c r="BC21" i="83"/>
  <c r="O23" i="76" s="1"/>
  <c r="AV15" i="83"/>
  <c r="H16" i="76" s="1"/>
  <c r="Z45" i="83"/>
  <c r="AX50" i="83"/>
  <c r="J42" i="76" s="1"/>
  <c r="AB46" i="83"/>
  <c r="AV50" i="83"/>
  <c r="H42" i="76" s="1"/>
  <c r="Z46" i="83"/>
  <c r="AD46" i="83"/>
  <c r="AZ50" i="83"/>
  <c r="L42" i="76" s="1"/>
  <c r="AS50" i="83"/>
  <c r="E42" i="76" s="1"/>
  <c r="W46" i="83"/>
  <c r="BC50" i="83"/>
  <c r="O42" i="76" s="1"/>
  <c r="AG46" i="83"/>
  <c r="AG48" i="83"/>
  <c r="BC51" i="83"/>
  <c r="O43" i="76" s="1"/>
  <c r="W43" i="83"/>
  <c r="AS14" i="83"/>
  <c r="E15" i="76" s="1"/>
  <c r="AY48" i="83"/>
  <c r="K40" i="76" s="1"/>
  <c r="AC42" i="83"/>
  <c r="AU48" i="83"/>
  <c r="G40" i="76" s="1"/>
  <c r="Y42" i="83"/>
  <c r="AZ48" i="83"/>
  <c r="L40" i="76" s="1"/>
  <c r="AD42" i="83"/>
  <c r="AB42" i="83"/>
  <c r="AX48" i="83"/>
  <c r="J40" i="76" s="1"/>
  <c r="AG45" i="83"/>
  <c r="BC15" i="83"/>
  <c r="O16" i="76" s="1"/>
  <c r="BB15" i="83"/>
  <c r="N16" i="76" s="1"/>
  <c r="AF45" i="83"/>
  <c r="AG24" i="83"/>
  <c r="AG43" i="83"/>
  <c r="AA41" i="83"/>
  <c r="AA24" i="83"/>
  <c r="AW13" i="83"/>
  <c r="I14" i="76" s="1"/>
  <c r="AS49" i="83"/>
  <c r="E41" i="76" s="1"/>
  <c r="W44" i="83"/>
  <c r="BC49" i="83"/>
  <c r="O41" i="76" s="1"/>
  <c r="AG44" i="83"/>
  <c r="AQ49" i="83"/>
  <c r="C41" i="76" s="1"/>
  <c r="U44" i="83"/>
  <c r="AW49" i="83"/>
  <c r="I41" i="76" s="1"/>
  <c r="AA44" i="83"/>
  <c r="AQ15" i="83"/>
  <c r="C16" i="76" s="1"/>
  <c r="U45" i="83"/>
  <c r="AR50" i="83"/>
  <c r="D42" i="76" s="1"/>
  <c r="V46" i="83"/>
  <c r="AW50" i="83"/>
  <c r="I42" i="76" s="1"/>
  <c r="AA46" i="83"/>
  <c r="BA50" i="83"/>
  <c r="M42" i="76" s="1"/>
  <c r="AE46" i="83"/>
  <c r="X46" i="83"/>
  <c r="AT50" i="83"/>
  <c r="F42" i="76" s="1"/>
  <c r="AG59" i="83"/>
  <c r="BC23" i="83"/>
  <c r="O25" i="76" s="1"/>
  <c r="AI5" i="83"/>
  <c r="AH13" i="83"/>
  <c r="BD44" i="83" s="1"/>
  <c r="P35" i="76" s="1"/>
  <c r="AH12" i="83"/>
  <c r="BD9" i="83" s="1"/>
  <c r="P9" i="76" s="1"/>
  <c r="AH22" i="83"/>
  <c r="AH32" i="83"/>
  <c r="AH10" i="83"/>
  <c r="BD8" i="83" s="1"/>
  <c r="P8" i="76" s="1"/>
  <c r="AH23" i="83"/>
  <c r="AH30" i="83"/>
  <c r="AH8" i="83"/>
  <c r="BD7" i="83" s="1"/>
  <c r="P7" i="76" s="1"/>
  <c r="AH7" i="83"/>
  <c r="BD41" i="83" s="1"/>
  <c r="P32" i="76" s="1"/>
  <c r="AH9" i="83"/>
  <c r="BD42" i="83" s="1"/>
  <c r="P33" i="76" s="1"/>
  <c r="AH31" i="83"/>
  <c r="AH11" i="83"/>
  <c r="BD43" i="83" s="1"/>
  <c r="P34" i="76" s="1"/>
  <c r="AH27" i="83"/>
  <c r="AH6" i="83"/>
  <c r="AH28" i="83"/>
  <c r="AH18" i="83"/>
  <c r="AH33" i="83"/>
  <c r="AH26" i="83"/>
  <c r="AH29" i="83"/>
  <c r="AH16" i="83"/>
  <c r="W42" i="83"/>
  <c r="AS48" i="83"/>
  <c r="E40" i="76" s="1"/>
  <c r="AA42" i="83"/>
  <c r="AW48" i="83"/>
  <c r="I40" i="76" s="1"/>
  <c r="BA48" i="83"/>
  <c r="M40" i="76" s="1"/>
  <c r="AE42" i="83"/>
  <c r="W24" i="83"/>
  <c r="Z24" i="83"/>
  <c r="AF24" i="83"/>
  <c r="W20" i="62" l="1"/>
  <c r="X78" i="74"/>
  <c r="W21" i="70" s="1"/>
  <c r="V70" i="76"/>
  <c r="V78" i="76"/>
  <c r="AO76" i="83"/>
  <c r="BK76" i="83" s="1"/>
  <c r="W69" i="76" s="1"/>
  <c r="AO75" i="83"/>
  <c r="BK75" i="83" s="1"/>
  <c r="W68" i="76" s="1"/>
  <c r="AO68" i="83"/>
  <c r="BK68" i="83" s="1"/>
  <c r="W61" i="76" s="1"/>
  <c r="Z23" i="74" s="1"/>
  <c r="AO81" i="83"/>
  <c r="BK81" i="83" s="1"/>
  <c r="W74" i="76" s="1"/>
  <c r="AO74" i="83"/>
  <c r="BK74" i="83" s="1"/>
  <c r="W67" i="76" s="1"/>
  <c r="AO67" i="83"/>
  <c r="BK67" i="83" s="1"/>
  <c r="W60" i="76" s="1"/>
  <c r="Z22" i="74" s="1"/>
  <c r="X80" i="72" s="1"/>
  <c r="AO83" i="83"/>
  <c r="BK83" i="83" s="1"/>
  <c r="W76" i="76" s="1"/>
  <c r="AO65" i="83"/>
  <c r="BK65" i="83" s="1"/>
  <c r="W58" i="76" s="1"/>
  <c r="AO82" i="83"/>
  <c r="BK82" i="83" s="1"/>
  <c r="W75" i="76" s="1"/>
  <c r="AO84" i="83"/>
  <c r="BK84" i="83" s="1"/>
  <c r="W77" i="76" s="1"/>
  <c r="AO73" i="83"/>
  <c r="BK73" i="83" s="1"/>
  <c r="W66" i="76" s="1"/>
  <c r="AO66" i="83"/>
  <c r="BK66" i="83" s="1"/>
  <c r="W59" i="76" s="1"/>
  <c r="Z21" i="74" s="1"/>
  <c r="X79" i="72" s="1"/>
  <c r="Y20" i="74"/>
  <c r="V62" i="76"/>
  <c r="X95" i="74"/>
  <c r="K31" i="84"/>
  <c r="K33" i="84" s="1"/>
  <c r="K24" i="84"/>
  <c r="Q11" i="84"/>
  <c r="Y55" i="74"/>
  <c r="W33" i="72" s="1"/>
  <c r="W49" i="72" s="1"/>
  <c r="X31" i="56"/>
  <c r="X303" i="56" s="1"/>
  <c r="Y95" i="74"/>
  <c r="X18" i="72"/>
  <c r="Y96" i="74"/>
  <c r="Y56" i="74"/>
  <c r="W34" i="56" s="1"/>
  <c r="W116" i="56" s="1"/>
  <c r="Z55" i="74"/>
  <c r="X33" i="56" s="1"/>
  <c r="Y50" i="60"/>
  <c r="Y54" i="60" s="1"/>
  <c r="Y22" i="54"/>
  <c r="Z94" i="74"/>
  <c r="Z54" i="74"/>
  <c r="X32" i="56" s="1"/>
  <c r="Z49" i="74"/>
  <c r="Z97" i="74" s="1"/>
  <c r="W22" i="54"/>
  <c r="X49" i="74"/>
  <c r="X97" i="74" s="1"/>
  <c r="X94" i="74"/>
  <c r="X54" i="74"/>
  <c r="V32" i="72" s="1"/>
  <c r="V48" i="72" s="1"/>
  <c r="Y54" i="74"/>
  <c r="W32" i="56" s="1"/>
  <c r="Y94" i="74"/>
  <c r="Y49" i="74"/>
  <c r="Y26" i="62"/>
  <c r="X18" i="56"/>
  <c r="Z41" i="74"/>
  <c r="X20" i="56" s="1"/>
  <c r="X39" i="74"/>
  <c r="V34" i="56"/>
  <c r="V34" i="72"/>
  <c r="V50" i="72" s="1"/>
  <c r="X14" i="62"/>
  <c r="W16" i="72"/>
  <c r="Y41" i="74"/>
  <c r="Y53" i="74"/>
  <c r="W16" i="56"/>
  <c r="X42" i="60"/>
  <c r="X54" i="60" s="1"/>
  <c r="Y77" i="74"/>
  <c r="X14" i="70" s="1"/>
  <c r="X34" i="54"/>
  <c r="V31" i="72"/>
  <c r="V47" i="72" s="1"/>
  <c r="V31" i="56"/>
  <c r="X34" i="56"/>
  <c r="X34" i="72"/>
  <c r="X50" i="72" s="1"/>
  <c r="AH42" i="83"/>
  <c r="AH45" i="83"/>
  <c r="AH55" i="83"/>
  <c r="BD21" i="83"/>
  <c r="P23" i="76" s="1"/>
  <c r="BD20" i="83"/>
  <c r="P22" i="76" s="1"/>
  <c r="AH53" i="83"/>
  <c r="AH60" i="83"/>
  <c r="BD58" i="83"/>
  <c r="P51" i="76" s="1"/>
  <c r="AH46" i="83"/>
  <c r="AH47" i="83"/>
  <c r="BD16" i="83"/>
  <c r="P17" i="76" s="1"/>
  <c r="BD6" i="83"/>
  <c r="P6" i="76" s="1"/>
  <c r="AH14" i="83"/>
  <c r="AH57" i="83"/>
  <c r="BD22" i="83"/>
  <c r="P24" i="76" s="1"/>
  <c r="AH48" i="83"/>
  <c r="BD51" i="83"/>
  <c r="P43" i="76" s="1"/>
  <c r="BD13" i="83"/>
  <c r="P14" i="76" s="1"/>
  <c r="AH41" i="83"/>
  <c r="AH24" i="83"/>
  <c r="BD56" i="83"/>
  <c r="P49" i="76" s="1"/>
  <c r="AH56" i="83"/>
  <c r="AH43" i="83"/>
  <c r="BD14" i="83"/>
  <c r="P15" i="76" s="1"/>
  <c r="AH54" i="83"/>
  <c r="BD55" i="83"/>
  <c r="P48" i="76" s="1"/>
  <c r="BD57" i="83"/>
  <c r="P50" i="76" s="1"/>
  <c r="AH58" i="83"/>
  <c r="AH59" i="83"/>
  <c r="BD23" i="83"/>
  <c r="P25" i="76" s="1"/>
  <c r="AJ5" i="83"/>
  <c r="AI12" i="83"/>
  <c r="BE9" i="83" s="1"/>
  <c r="Q9" i="76" s="1"/>
  <c r="AI13" i="83"/>
  <c r="BE44" i="83" s="1"/>
  <c r="Q35" i="76" s="1"/>
  <c r="AI8" i="83"/>
  <c r="BE7" i="83" s="1"/>
  <c r="Q7" i="76" s="1"/>
  <c r="AI11" i="83"/>
  <c r="BE43" i="83" s="1"/>
  <c r="Q34" i="76" s="1"/>
  <c r="AI32" i="83"/>
  <c r="AI10" i="83"/>
  <c r="BE8" i="83" s="1"/>
  <c r="Q8" i="76" s="1"/>
  <c r="AI23" i="83"/>
  <c r="AI7" i="83"/>
  <c r="BE41" i="83" s="1"/>
  <c r="Q32" i="76" s="1"/>
  <c r="AI22" i="83"/>
  <c r="AI9" i="83"/>
  <c r="BE42" i="83" s="1"/>
  <c r="Q33" i="76" s="1"/>
  <c r="AI31" i="83"/>
  <c r="AI6" i="83"/>
  <c r="AI27" i="83"/>
  <c r="AI26" i="83"/>
  <c r="AI18" i="83"/>
  <c r="AI28" i="83"/>
  <c r="AI29" i="83"/>
  <c r="AI16" i="83"/>
  <c r="AI30" i="83"/>
  <c r="AI33" i="83"/>
  <c r="AI20" i="83"/>
  <c r="AI17" i="83"/>
  <c r="AI21" i="83"/>
  <c r="AI19" i="83"/>
  <c r="AH44" i="83"/>
  <c r="W70" i="76" l="1"/>
  <c r="X81" i="72"/>
  <c r="W78" i="72"/>
  <c r="Y24" i="74"/>
  <c r="Z20" i="74"/>
  <c r="W62" i="76"/>
  <c r="W78" i="76"/>
  <c r="K26" i="84"/>
  <c r="L13" i="84"/>
  <c r="R11" i="84"/>
  <c r="W33" i="56"/>
  <c r="W244" i="56" s="1"/>
  <c r="X113" i="56"/>
  <c r="X177" i="56"/>
  <c r="X242" i="56"/>
  <c r="X48" i="56"/>
  <c r="W180" i="56"/>
  <c r="X33" i="72"/>
  <c r="X49" i="72" s="1"/>
  <c r="W306" i="56"/>
  <c r="V32" i="56"/>
  <c r="V304" i="56" s="1"/>
  <c r="W51" i="56"/>
  <c r="W32" i="72"/>
  <c r="W48" i="72" s="1"/>
  <c r="W245" i="56"/>
  <c r="W34" i="72"/>
  <c r="W50" i="72" s="1"/>
  <c r="X20" i="72"/>
  <c r="Y32" i="62"/>
  <c r="X32" i="72"/>
  <c r="X48" i="72" s="1"/>
  <c r="Y34" i="54"/>
  <c r="Y97" i="74"/>
  <c r="X79" i="74"/>
  <c r="W28" i="70" s="1"/>
  <c r="W50" i="60"/>
  <c r="W54" i="60" s="1"/>
  <c r="V18" i="72"/>
  <c r="X55" i="74"/>
  <c r="V18" i="56"/>
  <c r="W26" i="62"/>
  <c r="X41" i="74"/>
  <c r="W34" i="54"/>
  <c r="W50" i="54" s="1"/>
  <c r="Z81" i="74"/>
  <c r="X54" i="72" s="1"/>
  <c r="X245" i="56"/>
  <c r="X116" i="56"/>
  <c r="X51" i="56"/>
  <c r="X306" i="56"/>
  <c r="X180" i="56"/>
  <c r="V242" i="56"/>
  <c r="V113" i="56"/>
  <c r="V48" i="56"/>
  <c r="V303" i="56"/>
  <c r="V177" i="56"/>
  <c r="W304" i="56"/>
  <c r="W243" i="56"/>
  <c r="W178" i="56"/>
  <c r="W114" i="56"/>
  <c r="W49" i="56"/>
  <c r="X304" i="56"/>
  <c r="X178" i="56"/>
  <c r="X49" i="56"/>
  <c r="X243" i="56"/>
  <c r="X114" i="56"/>
  <c r="V306" i="56"/>
  <c r="V245" i="56"/>
  <c r="V180" i="56"/>
  <c r="V116" i="56"/>
  <c r="V51" i="56"/>
  <c r="X305" i="56"/>
  <c r="X244" i="56"/>
  <c r="X179" i="56"/>
  <c r="X115" i="56"/>
  <c r="X50" i="56"/>
  <c r="X50" i="54"/>
  <c r="X32" i="62"/>
  <c r="W31" i="72"/>
  <c r="W47" i="72" s="1"/>
  <c r="W31" i="56"/>
  <c r="W20" i="56"/>
  <c r="W20" i="72"/>
  <c r="Y81" i="74"/>
  <c r="W54" i="72" s="1"/>
  <c r="AI41" i="83"/>
  <c r="AI24" i="83"/>
  <c r="BE13" i="83"/>
  <c r="Q14" i="76" s="1"/>
  <c r="AI53" i="83"/>
  <c r="BE20" i="83"/>
  <c r="Q22" i="76" s="1"/>
  <c r="BE22" i="83"/>
  <c r="Q24" i="76" s="1"/>
  <c r="AI57" i="83"/>
  <c r="BE48" i="83"/>
  <c r="Q40" i="76" s="1"/>
  <c r="AI42" i="83"/>
  <c r="AI55" i="83"/>
  <c r="BE21" i="83"/>
  <c r="Q23" i="76" s="1"/>
  <c r="AI14" i="83"/>
  <c r="BE6" i="83"/>
  <c r="Q6" i="76" s="1"/>
  <c r="AI47" i="83"/>
  <c r="BE16" i="83"/>
  <c r="Q17" i="76" s="1"/>
  <c r="BE51" i="83"/>
  <c r="Q43" i="76" s="1"/>
  <c r="AI48" i="83"/>
  <c r="BE49" i="83"/>
  <c r="Q41" i="76" s="1"/>
  <c r="AI44" i="83"/>
  <c r="BE58" i="83"/>
  <c r="Q51" i="76" s="1"/>
  <c r="AI60" i="83"/>
  <c r="AI56" i="83"/>
  <c r="BE56" i="83"/>
  <c r="Q49" i="76" s="1"/>
  <c r="AI58" i="83"/>
  <c r="BE57" i="83"/>
  <c r="Q50" i="76" s="1"/>
  <c r="AI59" i="83"/>
  <c r="BE23" i="83"/>
  <c r="Q25" i="76" s="1"/>
  <c r="AK5" i="83"/>
  <c r="AJ13" i="83"/>
  <c r="BF44" i="83" s="1"/>
  <c r="R35" i="76" s="1"/>
  <c r="AJ12" i="83"/>
  <c r="BF9" i="83" s="1"/>
  <c r="R9" i="76" s="1"/>
  <c r="AJ8" i="83"/>
  <c r="BF7" i="83" s="1"/>
  <c r="R7" i="76" s="1"/>
  <c r="AJ10" i="83"/>
  <c r="BF8" i="83" s="1"/>
  <c r="R8" i="76" s="1"/>
  <c r="AJ22" i="83"/>
  <c r="AJ7" i="83"/>
  <c r="BF41" i="83" s="1"/>
  <c r="R32" i="76" s="1"/>
  <c r="AJ11" i="83"/>
  <c r="BF43" i="83" s="1"/>
  <c r="R34" i="76" s="1"/>
  <c r="AJ32" i="83"/>
  <c r="AJ23" i="83"/>
  <c r="AJ31" i="83"/>
  <c r="AJ29" i="83"/>
  <c r="AJ16" i="83"/>
  <c r="AJ6" i="83"/>
  <c r="AJ18" i="83"/>
  <c r="AJ33" i="83"/>
  <c r="AJ9" i="83"/>
  <c r="BF42" i="83" s="1"/>
  <c r="R33" i="76" s="1"/>
  <c r="AJ28" i="83"/>
  <c r="AJ27" i="83"/>
  <c r="AJ20" i="83"/>
  <c r="AJ26" i="83"/>
  <c r="AJ30" i="83"/>
  <c r="AJ17" i="83"/>
  <c r="AJ19" i="83"/>
  <c r="AJ21" i="83"/>
  <c r="BE50" i="83"/>
  <c r="Q42" i="76" s="1"/>
  <c r="AI46" i="83"/>
  <c r="BE55" i="83"/>
  <c r="Q48" i="76" s="1"/>
  <c r="AI54" i="83"/>
  <c r="AI45" i="83"/>
  <c r="BE15" i="83"/>
  <c r="Q16" i="76" s="1"/>
  <c r="BE14" i="83"/>
  <c r="Q15" i="76" s="1"/>
  <c r="AI43" i="83"/>
  <c r="X78" i="72" l="1"/>
  <c r="Z24" i="74"/>
  <c r="L31" i="84"/>
  <c r="L33" i="84" s="1"/>
  <c r="L24" i="84"/>
  <c r="S11" i="84"/>
  <c r="W50" i="56"/>
  <c r="W179" i="56"/>
  <c r="W115" i="56"/>
  <c r="W305" i="56"/>
  <c r="V114" i="56"/>
  <c r="V178" i="56"/>
  <c r="V243" i="56"/>
  <c r="V49" i="56"/>
  <c r="Y43" i="62"/>
  <c r="Y50" i="54"/>
  <c r="V33" i="72"/>
  <c r="V49" i="72" s="1"/>
  <c r="V33" i="56"/>
  <c r="V20" i="72"/>
  <c r="X81" i="74"/>
  <c r="V54" i="72" s="1"/>
  <c r="V20" i="56"/>
  <c r="W32" i="62"/>
  <c r="W242" i="56"/>
  <c r="W113" i="56"/>
  <c r="W48" i="56"/>
  <c r="W303" i="56"/>
  <c r="W177" i="56"/>
  <c r="X43" i="62"/>
  <c r="BF15" i="83"/>
  <c r="R16" i="76" s="1"/>
  <c r="AJ45" i="83"/>
  <c r="BF58" i="83"/>
  <c r="R51" i="76" s="1"/>
  <c r="AJ60" i="83"/>
  <c r="BF51" i="83"/>
  <c r="R43" i="76" s="1"/>
  <c r="AJ48" i="83"/>
  <c r="AJ57" i="83"/>
  <c r="BF22" i="83"/>
  <c r="R24" i="76" s="1"/>
  <c r="BF55" i="83"/>
  <c r="R48" i="76" s="1"/>
  <c r="AJ54" i="83"/>
  <c r="BF14" i="83"/>
  <c r="R15" i="76" s="1"/>
  <c r="AJ43" i="83"/>
  <c r="AJ56" i="83"/>
  <c r="BF56" i="83"/>
  <c r="R49" i="76" s="1"/>
  <c r="AJ59" i="83"/>
  <c r="BF23" i="83"/>
  <c r="R25" i="76" s="1"/>
  <c r="BF50" i="83"/>
  <c r="R42" i="76" s="1"/>
  <c r="AJ46" i="83"/>
  <c r="BF21" i="83"/>
  <c r="R23" i="76" s="1"/>
  <c r="AJ55" i="83"/>
  <c r="AJ14" i="83"/>
  <c r="BF6" i="83"/>
  <c r="R6" i="76" s="1"/>
  <c r="AL5" i="83"/>
  <c r="AM5" i="83" s="1"/>
  <c r="AK12" i="83"/>
  <c r="BG9" i="83" s="1"/>
  <c r="S9" i="76" s="1"/>
  <c r="AK13" i="83"/>
  <c r="BG44" i="83" s="1"/>
  <c r="S35" i="76" s="1"/>
  <c r="AK22" i="83"/>
  <c r="AK32" i="83"/>
  <c r="AK7" i="83"/>
  <c r="BG41" i="83" s="1"/>
  <c r="S32" i="76" s="1"/>
  <c r="AK11" i="83"/>
  <c r="BG43" i="83" s="1"/>
  <c r="S34" i="76" s="1"/>
  <c r="AK23" i="83"/>
  <c r="AK9" i="83"/>
  <c r="BG42" i="83" s="1"/>
  <c r="S33" i="76" s="1"/>
  <c r="AK8" i="83"/>
  <c r="BG7" i="83" s="1"/>
  <c r="S7" i="76" s="1"/>
  <c r="AK10" i="83"/>
  <c r="BG8" i="83" s="1"/>
  <c r="S8" i="76" s="1"/>
  <c r="AK26" i="83"/>
  <c r="AK6" i="83"/>
  <c r="AK31" i="83"/>
  <c r="AK30" i="83"/>
  <c r="AK18" i="83"/>
  <c r="AK16" i="83"/>
  <c r="AK27" i="83"/>
  <c r="AK33" i="83"/>
  <c r="AK29" i="83"/>
  <c r="AK28" i="83"/>
  <c r="AK20" i="83"/>
  <c r="AK17" i="83"/>
  <c r="AK21" i="83"/>
  <c r="AK19" i="83"/>
  <c r="AJ42" i="83"/>
  <c r="BF48" i="83"/>
  <c r="R40" i="76" s="1"/>
  <c r="AJ24" i="83"/>
  <c r="AJ41" i="83"/>
  <c r="BF13" i="83"/>
  <c r="R14" i="76" s="1"/>
  <c r="AJ47" i="83"/>
  <c r="BF16" i="83"/>
  <c r="R17" i="76" s="1"/>
  <c r="AJ44" i="83"/>
  <c r="BF49" i="83"/>
  <c r="R41" i="76" s="1"/>
  <c r="AJ53" i="83"/>
  <c r="BF20" i="83"/>
  <c r="R22" i="76" s="1"/>
  <c r="AJ58" i="83"/>
  <c r="BF57" i="83"/>
  <c r="R50" i="76" s="1"/>
  <c r="AN5" i="83" l="1"/>
  <c r="AM23" i="83"/>
  <c r="AM13" i="83"/>
  <c r="BI44" i="83" s="1"/>
  <c r="U35" i="76" s="1"/>
  <c r="X15" i="74" s="1"/>
  <c r="AM32" i="83"/>
  <c r="AM6" i="83"/>
  <c r="BI6" i="83" s="1"/>
  <c r="AM33" i="83"/>
  <c r="AM22" i="83"/>
  <c r="AM8" i="83"/>
  <c r="BI7" i="83" s="1"/>
  <c r="U7" i="76" s="1"/>
  <c r="X5" i="74" s="1"/>
  <c r="AM31" i="83"/>
  <c r="AM9" i="83"/>
  <c r="BI42" i="83" s="1"/>
  <c r="U33" i="76" s="1"/>
  <c r="X13" i="74" s="1"/>
  <c r="AM11" i="83"/>
  <c r="BI43" i="83" s="1"/>
  <c r="U34" i="76" s="1"/>
  <c r="X14" i="74" s="1"/>
  <c r="AM12" i="83"/>
  <c r="BI9" i="83" s="1"/>
  <c r="U9" i="76" s="1"/>
  <c r="X7" i="74" s="1"/>
  <c r="AM7" i="83"/>
  <c r="BI41" i="83" s="1"/>
  <c r="U32" i="76" s="1"/>
  <c r="X12" i="74" s="1"/>
  <c r="AM10" i="83"/>
  <c r="BI8" i="83" s="1"/>
  <c r="U8" i="76" s="1"/>
  <c r="X6" i="74" s="1"/>
  <c r="AM30" i="83"/>
  <c r="AM26" i="83"/>
  <c r="AM28" i="83"/>
  <c r="AM17" i="83"/>
  <c r="AM16" i="83"/>
  <c r="AM27" i="83"/>
  <c r="AM21" i="83"/>
  <c r="AM20" i="83"/>
  <c r="AM18" i="83"/>
  <c r="AM19" i="83"/>
  <c r="AM29" i="83"/>
  <c r="L26" i="84"/>
  <c r="M13" i="84"/>
  <c r="T11" i="84"/>
  <c r="W43" i="62"/>
  <c r="V50" i="56"/>
  <c r="V244" i="56"/>
  <c r="V305" i="56"/>
  <c r="V115" i="56"/>
  <c r="V179" i="56"/>
  <c r="AK55" i="83"/>
  <c r="BG21" i="83"/>
  <c r="S23" i="76" s="1"/>
  <c r="AK43" i="83"/>
  <c r="BG14" i="83"/>
  <c r="S15" i="76" s="1"/>
  <c r="AK53" i="83"/>
  <c r="BG20" i="83"/>
  <c r="S22" i="76" s="1"/>
  <c r="AK48" i="83"/>
  <c r="BG51" i="83"/>
  <c r="S43" i="76" s="1"/>
  <c r="AK59" i="83"/>
  <c r="BG23" i="83"/>
  <c r="S25" i="76" s="1"/>
  <c r="AK46" i="83"/>
  <c r="BG50" i="83"/>
  <c r="S42" i="76" s="1"/>
  <c r="AK54" i="83"/>
  <c r="BG55" i="83"/>
  <c r="S48" i="76" s="1"/>
  <c r="BG22" i="83"/>
  <c r="S24" i="76" s="1"/>
  <c r="AK57" i="83"/>
  <c r="BG16" i="83"/>
  <c r="S17" i="76" s="1"/>
  <c r="AK47" i="83"/>
  <c r="BG48" i="83"/>
  <c r="S40" i="76" s="1"/>
  <c r="AK42" i="83"/>
  <c r="BG56" i="83"/>
  <c r="S49" i="76" s="1"/>
  <c r="AK56" i="83"/>
  <c r="AK24" i="83"/>
  <c r="AK41" i="83"/>
  <c r="BG13" i="83"/>
  <c r="S14" i="76" s="1"/>
  <c r="AK58" i="83"/>
  <c r="BG57" i="83"/>
  <c r="S50" i="76" s="1"/>
  <c r="AK14" i="83"/>
  <c r="BG6" i="83"/>
  <c r="S6" i="76" s="1"/>
  <c r="BG15" i="83"/>
  <c r="S16" i="76" s="1"/>
  <c r="AK45" i="83"/>
  <c r="BG49" i="83"/>
  <c r="S41" i="76" s="1"/>
  <c r="AK44" i="83"/>
  <c r="AK60" i="83"/>
  <c r="BG58" i="83"/>
  <c r="S51" i="76" s="1"/>
  <c r="AL12" i="83"/>
  <c r="BH9" i="83" s="1"/>
  <c r="T9" i="76" s="1"/>
  <c r="AL22" i="83"/>
  <c r="AL13" i="83"/>
  <c r="BH44" i="83" s="1"/>
  <c r="T35" i="76" s="1"/>
  <c r="AL8" i="83"/>
  <c r="BH7" i="83" s="1"/>
  <c r="T7" i="76" s="1"/>
  <c r="AL10" i="83"/>
  <c r="BH8" i="83" s="1"/>
  <c r="T8" i="76" s="1"/>
  <c r="AL7" i="83"/>
  <c r="BH41" i="83" s="1"/>
  <c r="T32" i="76" s="1"/>
  <c r="AL11" i="83"/>
  <c r="BH43" i="83" s="1"/>
  <c r="T34" i="76" s="1"/>
  <c r="AL9" i="83"/>
  <c r="BH42" i="83" s="1"/>
  <c r="T33" i="76" s="1"/>
  <c r="AL30" i="83"/>
  <c r="AL32" i="83"/>
  <c r="AL23" i="83"/>
  <c r="AL6" i="83"/>
  <c r="AL29" i="83"/>
  <c r="AL27" i="83"/>
  <c r="AL26" i="83"/>
  <c r="AL31" i="83"/>
  <c r="AL16" i="83"/>
  <c r="AL28" i="83"/>
  <c r="AL33" i="83"/>
  <c r="AL18" i="83"/>
  <c r="AL17" i="83"/>
  <c r="AL19" i="83"/>
  <c r="AL20" i="83"/>
  <c r="AL21" i="83"/>
  <c r="BI49" i="83" l="1"/>
  <c r="U41" i="76" s="1"/>
  <c r="AM44" i="83"/>
  <c r="AM54" i="83"/>
  <c r="BI55" i="83"/>
  <c r="U48" i="76" s="1"/>
  <c r="BI20" i="83"/>
  <c r="AM53" i="83"/>
  <c r="W34" i="60"/>
  <c r="X72" i="74"/>
  <c r="W39" i="70" s="1"/>
  <c r="V10" i="56"/>
  <c r="X32" i="74"/>
  <c r="W37" i="62"/>
  <c r="W39" i="62" s="1"/>
  <c r="V10" i="72"/>
  <c r="X148" i="74"/>
  <c r="V8" i="56"/>
  <c r="X70" i="74"/>
  <c r="W20" i="70" s="1"/>
  <c r="X30" i="74"/>
  <c r="W19" i="62"/>
  <c r="W21" i="62" s="1"/>
  <c r="W22" i="60"/>
  <c r="V8" i="72"/>
  <c r="X146" i="74"/>
  <c r="BI23" i="83"/>
  <c r="U25" i="76" s="1"/>
  <c r="AM59" i="83"/>
  <c r="AM43" i="83"/>
  <c r="BI14" i="83"/>
  <c r="U15" i="76" s="1"/>
  <c r="AM41" i="83"/>
  <c r="BI13" i="83"/>
  <c r="AM57" i="83"/>
  <c r="BI22" i="83"/>
  <c r="U24" i="76" s="1"/>
  <c r="W27" i="54"/>
  <c r="W29" i="54" s="1"/>
  <c r="X87" i="74"/>
  <c r="X155" i="74"/>
  <c r="BI16" i="83"/>
  <c r="U17" i="76" s="1"/>
  <c r="AM47" i="83"/>
  <c r="X88" i="74"/>
  <c r="W39" i="54"/>
  <c r="W41" i="54" s="1"/>
  <c r="W45" i="54" s="1"/>
  <c r="W46" i="54" s="1"/>
  <c r="X156" i="74"/>
  <c r="BI15" i="83"/>
  <c r="U16" i="76" s="1"/>
  <c r="AM45" i="83"/>
  <c r="BI48" i="83"/>
  <c r="U40" i="76" s="1"/>
  <c r="AM42" i="83"/>
  <c r="W25" i="62"/>
  <c r="W27" i="62" s="1"/>
  <c r="V9" i="72"/>
  <c r="X71" i="74"/>
  <c r="W27" i="70" s="1"/>
  <c r="W26" i="60"/>
  <c r="V9" i="56"/>
  <c r="X31" i="74"/>
  <c r="X147" i="74"/>
  <c r="W21" i="54"/>
  <c r="W23" i="54" s="1"/>
  <c r="X86" i="74"/>
  <c r="X154" i="74"/>
  <c r="BI58" i="83"/>
  <c r="U51" i="76" s="1"/>
  <c r="AM60" i="83"/>
  <c r="BI51" i="83"/>
  <c r="U43" i="76" s="1"/>
  <c r="AM48" i="83"/>
  <c r="AM56" i="83"/>
  <c r="BI56" i="83"/>
  <c r="U49" i="76" s="1"/>
  <c r="AM46" i="83"/>
  <c r="BI50" i="83"/>
  <c r="U42" i="76" s="1"/>
  <c r="AM55" i="83"/>
  <c r="BI21" i="83"/>
  <c r="U23" i="76" s="1"/>
  <c r="X16" i="74"/>
  <c r="W15" i="54"/>
  <c r="X85" i="74"/>
  <c r="W24" i="77" s="1"/>
  <c r="W26" i="77" s="1"/>
  <c r="W27" i="77" s="1"/>
  <c r="X153" i="74"/>
  <c r="BI57" i="83"/>
  <c r="U50" i="76" s="1"/>
  <c r="AM58" i="83"/>
  <c r="U6" i="76"/>
  <c r="BL6" i="83"/>
  <c r="AO5" i="83"/>
  <c r="AN13" i="83"/>
  <c r="BJ44" i="83" s="1"/>
  <c r="V35" i="76" s="1"/>
  <c r="Y15" i="74" s="1"/>
  <c r="AN23" i="83"/>
  <c r="AN22" i="83"/>
  <c r="AN7" i="83"/>
  <c r="BJ41" i="83" s="1"/>
  <c r="V32" i="76" s="1"/>
  <c r="Y12" i="74" s="1"/>
  <c r="AN10" i="83"/>
  <c r="BJ8" i="83" s="1"/>
  <c r="V8" i="76" s="1"/>
  <c r="Y6" i="74" s="1"/>
  <c r="AN6" i="83"/>
  <c r="BJ6" i="83" s="1"/>
  <c r="V6" i="76" s="1"/>
  <c r="AN12" i="83"/>
  <c r="BJ9" i="83" s="1"/>
  <c r="V9" i="76" s="1"/>
  <c r="Y7" i="74" s="1"/>
  <c r="AN32" i="83"/>
  <c r="AN11" i="83"/>
  <c r="BJ43" i="83" s="1"/>
  <c r="V34" i="76" s="1"/>
  <c r="Y14" i="74" s="1"/>
  <c r="AN8" i="83"/>
  <c r="BJ7" i="83" s="1"/>
  <c r="V7" i="76" s="1"/>
  <c r="Y5" i="74" s="1"/>
  <c r="AN26" i="83"/>
  <c r="AN9" i="83"/>
  <c r="BJ42" i="83" s="1"/>
  <c r="V33" i="76" s="1"/>
  <c r="Y13" i="74" s="1"/>
  <c r="AN30" i="83"/>
  <c r="AN33" i="83"/>
  <c r="AN31" i="83"/>
  <c r="AN29" i="83"/>
  <c r="AN27" i="83"/>
  <c r="AN20" i="83"/>
  <c r="AN19" i="83"/>
  <c r="AN17" i="83"/>
  <c r="AN28" i="83"/>
  <c r="AN16" i="83"/>
  <c r="AN21" i="83"/>
  <c r="AN18" i="83"/>
  <c r="M31" i="84"/>
  <c r="M33" i="84" s="1"/>
  <c r="M24" i="84"/>
  <c r="U11" i="84"/>
  <c r="BH13" i="83"/>
  <c r="T14" i="76" s="1"/>
  <c r="AL41" i="83"/>
  <c r="AL24" i="83"/>
  <c r="AL14" i="83"/>
  <c r="BH6" i="83"/>
  <c r="T6" i="76" s="1"/>
  <c r="BH48" i="83"/>
  <c r="T40" i="76" s="1"/>
  <c r="AL42" i="83"/>
  <c r="BH50" i="83"/>
  <c r="T42" i="76" s="1"/>
  <c r="AL46" i="83"/>
  <c r="AL43" i="83"/>
  <c r="BH14" i="83"/>
  <c r="T15" i="76" s="1"/>
  <c r="BH57" i="83"/>
  <c r="T50" i="76" s="1"/>
  <c r="AL58" i="83"/>
  <c r="BH51" i="83"/>
  <c r="T43" i="76" s="1"/>
  <c r="AL48" i="83"/>
  <c r="AL44" i="83"/>
  <c r="BH49" i="83"/>
  <c r="T41" i="76" s="1"/>
  <c r="AL55" i="83"/>
  <c r="BH21" i="83"/>
  <c r="T23" i="76" s="1"/>
  <c r="AL53" i="83"/>
  <c r="BH20" i="83"/>
  <c r="T22" i="76" s="1"/>
  <c r="BH22" i="83"/>
  <c r="T24" i="76" s="1"/>
  <c r="AL57" i="83"/>
  <c r="BH16" i="83"/>
  <c r="T17" i="76" s="1"/>
  <c r="AL47" i="83"/>
  <c r="BH55" i="83"/>
  <c r="T48" i="76" s="1"/>
  <c r="AL54" i="83"/>
  <c r="AL45" i="83"/>
  <c r="BH15" i="83"/>
  <c r="T16" i="76" s="1"/>
  <c r="AL60" i="83"/>
  <c r="BH58" i="83"/>
  <c r="T51" i="76" s="1"/>
  <c r="AL56" i="83"/>
  <c r="BH56" i="83"/>
  <c r="T49" i="76" s="1"/>
  <c r="AL59" i="83"/>
  <c r="BH23" i="83"/>
  <c r="T25" i="76" s="1"/>
  <c r="BJ49" i="83" l="1"/>
  <c r="V41" i="76" s="1"/>
  <c r="AN44" i="83"/>
  <c r="BJ20" i="83"/>
  <c r="V22" i="76" s="1"/>
  <c r="AN53" i="83"/>
  <c r="AN41" i="83"/>
  <c r="BJ13" i="83"/>
  <c r="V14" i="76" s="1"/>
  <c r="BJ15" i="83"/>
  <c r="V16" i="76" s="1"/>
  <c r="AN45" i="83"/>
  <c r="AN60" i="83"/>
  <c r="BJ58" i="83"/>
  <c r="V51" i="76" s="1"/>
  <c r="X19" i="62"/>
  <c r="X21" i="62" s="1"/>
  <c r="W8" i="72"/>
  <c r="X22" i="60"/>
  <c r="W8" i="56"/>
  <c r="Y146" i="74"/>
  <c r="Y70" i="74"/>
  <c r="X20" i="70" s="1"/>
  <c r="Y4" i="74"/>
  <c r="V10" i="76"/>
  <c r="BJ51" i="83"/>
  <c r="V43" i="76" s="1"/>
  <c r="AN48" i="83"/>
  <c r="X4" i="74"/>
  <c r="U10" i="76"/>
  <c r="M30" i="67" s="1"/>
  <c r="W29" i="70"/>
  <c r="W30" i="70"/>
  <c r="W22" i="70"/>
  <c r="W23" i="70"/>
  <c r="BJ50" i="83"/>
  <c r="V42" i="76" s="1"/>
  <c r="AN46" i="83"/>
  <c r="AN58" i="83"/>
  <c r="BJ57" i="83"/>
  <c r="V50" i="76" s="1"/>
  <c r="BJ16" i="83"/>
  <c r="V17" i="76" s="1"/>
  <c r="AN47" i="83"/>
  <c r="W41" i="70"/>
  <c r="W42" i="70"/>
  <c r="BJ21" i="83"/>
  <c r="V23" i="76" s="1"/>
  <c r="AN55" i="83"/>
  <c r="BJ55" i="83"/>
  <c r="V48" i="76" s="1"/>
  <c r="AN54" i="83"/>
  <c r="BJ22" i="83"/>
  <c r="V24" i="76" s="1"/>
  <c r="AN57" i="83"/>
  <c r="X27" i="54"/>
  <c r="X29" i="54" s="1"/>
  <c r="Y87" i="74"/>
  <c r="Y155" i="74"/>
  <c r="W9" i="56"/>
  <c r="Y31" i="74"/>
  <c r="X25" i="62"/>
  <c r="X27" i="62" s="1"/>
  <c r="W9" i="72"/>
  <c r="Y147" i="74"/>
  <c r="Y71" i="74"/>
  <c r="X27" i="70" s="1"/>
  <c r="X26" i="60"/>
  <c r="X39" i="54"/>
  <c r="X41" i="54" s="1"/>
  <c r="X45" i="54" s="1"/>
  <c r="X46" i="54" s="1"/>
  <c r="Y88" i="74"/>
  <c r="Y156" i="74"/>
  <c r="W33" i="54"/>
  <c r="W17" i="54"/>
  <c r="V27" i="72"/>
  <c r="V42" i="72" s="1"/>
  <c r="V26" i="56"/>
  <c r="U14" i="76"/>
  <c r="U18" i="76" s="1"/>
  <c r="M31" i="67" s="1"/>
  <c r="BL49" i="83"/>
  <c r="V27" i="56"/>
  <c r="V28" i="72"/>
  <c r="V43" i="72" s="1"/>
  <c r="X34" i="60"/>
  <c r="W10" i="72"/>
  <c r="W10" i="56"/>
  <c r="Y72" i="74"/>
  <c r="X39" i="70" s="1"/>
  <c r="Y32" i="74"/>
  <c r="X37" i="62"/>
  <c r="X39" i="62" s="1"/>
  <c r="Y148" i="74"/>
  <c r="V25" i="56"/>
  <c r="V26" i="72"/>
  <c r="V41" i="72" s="1"/>
  <c r="AN43" i="83"/>
  <c r="BJ14" i="83"/>
  <c r="V15" i="76" s="1"/>
  <c r="BJ48" i="83"/>
  <c r="V40" i="76" s="1"/>
  <c r="AN42" i="83"/>
  <c r="BJ56" i="83"/>
  <c r="V49" i="76" s="1"/>
  <c r="AN56" i="83"/>
  <c r="Y30" i="74"/>
  <c r="Y86" i="74"/>
  <c r="X21" i="54"/>
  <c r="X23" i="54" s="1"/>
  <c r="Y154" i="74"/>
  <c r="BJ23" i="83"/>
  <c r="V25" i="76" s="1"/>
  <c r="AN59" i="83"/>
  <c r="Y29" i="74"/>
  <c r="Y85" i="74"/>
  <c r="X24" i="77" s="1"/>
  <c r="X26" i="77" s="1"/>
  <c r="X27" i="77" s="1"/>
  <c r="Y153" i="74"/>
  <c r="Y16" i="74"/>
  <c r="X15" i="54"/>
  <c r="AO22" i="83"/>
  <c r="AO13" i="83"/>
  <c r="BK44" i="83" s="1"/>
  <c r="W35" i="76" s="1"/>
  <c r="Z15" i="74" s="1"/>
  <c r="AO23" i="83"/>
  <c r="AO7" i="83"/>
  <c r="BK41" i="83" s="1"/>
  <c r="W32" i="76" s="1"/>
  <c r="Z12" i="74" s="1"/>
  <c r="AO9" i="83"/>
  <c r="BK42" i="83" s="1"/>
  <c r="W33" i="76" s="1"/>
  <c r="Z13" i="74" s="1"/>
  <c r="AO12" i="83"/>
  <c r="BK9" i="83" s="1"/>
  <c r="W9" i="76" s="1"/>
  <c r="Z7" i="74" s="1"/>
  <c r="AO33" i="83"/>
  <c r="AO10" i="83"/>
  <c r="BK8" i="83" s="1"/>
  <c r="W8" i="76" s="1"/>
  <c r="Z6" i="74" s="1"/>
  <c r="AO30" i="83"/>
  <c r="AO31" i="83"/>
  <c r="AO8" i="83"/>
  <c r="BK7" i="83" s="1"/>
  <c r="W7" i="76" s="1"/>
  <c r="Z5" i="74" s="1"/>
  <c r="AO6" i="83"/>
  <c r="BK6" i="83" s="1"/>
  <c r="W6" i="76" s="1"/>
  <c r="AO26" i="83"/>
  <c r="AO32" i="83"/>
  <c r="AO11" i="83"/>
  <c r="BK43" i="83" s="1"/>
  <c r="W34" i="76" s="1"/>
  <c r="Z14" i="74" s="1"/>
  <c r="AO21" i="83"/>
  <c r="AO28" i="83"/>
  <c r="AO27" i="83"/>
  <c r="AO29" i="83"/>
  <c r="AO17" i="83"/>
  <c r="AO18" i="83"/>
  <c r="AO19" i="83"/>
  <c r="AO16" i="83"/>
  <c r="AO20" i="83"/>
  <c r="X89" i="74"/>
  <c r="X157" i="74"/>
  <c r="U22" i="76"/>
  <c r="U26" i="76" s="1"/>
  <c r="M32" i="67" s="1"/>
  <c r="BL23" i="83"/>
  <c r="M26" i="84"/>
  <c r="N13" i="84"/>
  <c r="V11" i="84"/>
  <c r="E65" i="68"/>
  <c r="E66" i="68"/>
  <c r="E67" i="68"/>
  <c r="AO42" i="83" l="1"/>
  <c r="BK48" i="83"/>
  <c r="W40" i="76" s="1"/>
  <c r="BK50" i="83"/>
  <c r="W42" i="76" s="1"/>
  <c r="AO46" i="83"/>
  <c r="Y15" i="54"/>
  <c r="Y17" i="54" s="1"/>
  <c r="Z85" i="74"/>
  <c r="Y24" i="77" s="1"/>
  <c r="Y26" i="77" s="1"/>
  <c r="Y27" i="77" s="1"/>
  <c r="Z153" i="74"/>
  <c r="Z16" i="74"/>
  <c r="W25" i="72"/>
  <c r="W40" i="72" s="1"/>
  <c r="W24" i="56"/>
  <c r="BK13" i="83"/>
  <c r="W14" i="76" s="1"/>
  <c r="AO41" i="83"/>
  <c r="AO56" i="83"/>
  <c r="BK56" i="83"/>
  <c r="W49" i="76" s="1"/>
  <c r="Y27" i="54"/>
  <c r="Z87" i="74"/>
  <c r="Z155" i="74"/>
  <c r="Z146" i="74"/>
  <c r="Z30" i="74"/>
  <c r="Y22" i="60"/>
  <c r="Y19" i="62"/>
  <c r="Y21" i="62" s="1"/>
  <c r="X8" i="72"/>
  <c r="Z70" i="74"/>
  <c r="Y20" i="70" s="1"/>
  <c r="X8" i="56"/>
  <c r="BK58" i="83"/>
  <c r="W51" i="76" s="1"/>
  <c r="AO60" i="83"/>
  <c r="AO48" i="83"/>
  <c r="BK51" i="83"/>
  <c r="W43" i="76" s="1"/>
  <c r="Y89" i="74"/>
  <c r="Y157" i="74"/>
  <c r="V26" i="76"/>
  <c r="X22" i="70"/>
  <c r="X23" i="70"/>
  <c r="AO44" i="83"/>
  <c r="BK49" i="83"/>
  <c r="W41" i="76" s="1"/>
  <c r="AO54" i="83"/>
  <c r="BK55" i="83"/>
  <c r="W48" i="76" s="1"/>
  <c r="BK23" i="83"/>
  <c r="W25" i="76" s="1"/>
  <c r="AO59" i="83"/>
  <c r="BK57" i="83"/>
  <c r="W50" i="76" s="1"/>
  <c r="AO58" i="83"/>
  <c r="X10" i="56"/>
  <c r="X10" i="72"/>
  <c r="Y37" i="62"/>
  <c r="Y39" i="62" s="1"/>
  <c r="Z72" i="74"/>
  <c r="Y39" i="70" s="1"/>
  <c r="Y34" i="60"/>
  <c r="Z32" i="74"/>
  <c r="Z148" i="74"/>
  <c r="Y39" i="54"/>
  <c r="Y41" i="54" s="1"/>
  <c r="Y45" i="54" s="1"/>
  <c r="Y46" i="54" s="1"/>
  <c r="Z156" i="74"/>
  <c r="Z88" i="74"/>
  <c r="W25" i="56"/>
  <c r="W26" i="72"/>
  <c r="W41" i="72" s="1"/>
  <c r="V171" i="56"/>
  <c r="V107" i="56"/>
  <c r="V236" i="56"/>
  <c r="V297" i="56"/>
  <c r="V42" i="56"/>
  <c r="W27" i="56"/>
  <c r="W28" i="72"/>
  <c r="W43" i="72" s="1"/>
  <c r="W49" i="54"/>
  <c r="W35" i="54"/>
  <c r="W51" i="54" s="1"/>
  <c r="V18" i="76"/>
  <c r="AO45" i="83"/>
  <c r="BK15" i="83"/>
  <c r="W16" i="76" s="1"/>
  <c r="Z4" i="74"/>
  <c r="W10" i="76"/>
  <c r="Y26" i="60"/>
  <c r="Z71" i="74"/>
  <c r="Y27" i="70" s="1"/>
  <c r="Y25" i="62"/>
  <c r="Y27" i="62" s="1"/>
  <c r="X9" i="72"/>
  <c r="X9" i="56"/>
  <c r="Z31" i="74"/>
  <c r="Z147" i="74"/>
  <c r="X17" i="54"/>
  <c r="X33" i="54"/>
  <c r="V238" i="56"/>
  <c r="V44" i="56"/>
  <c r="V173" i="56"/>
  <c r="V299" i="56"/>
  <c r="V109" i="56"/>
  <c r="BK14" i="83"/>
  <c r="W15" i="76" s="1"/>
  <c r="AO43" i="83"/>
  <c r="AO55" i="83"/>
  <c r="BK21" i="83"/>
  <c r="W23" i="76" s="1"/>
  <c r="BK20" i="83"/>
  <c r="W22" i="76" s="1"/>
  <c r="AO53" i="83"/>
  <c r="BK22" i="83"/>
  <c r="W24" i="76" s="1"/>
  <c r="AO57" i="83"/>
  <c r="Y21" i="54"/>
  <c r="Y23" i="54" s="1"/>
  <c r="Z86" i="74"/>
  <c r="Z154" i="74"/>
  <c r="BK16" i="83"/>
  <c r="W17" i="76" s="1"/>
  <c r="AO47" i="83"/>
  <c r="X41" i="70"/>
  <c r="X42" i="70"/>
  <c r="V43" i="56"/>
  <c r="V108" i="56"/>
  <c r="V172" i="56"/>
  <c r="V298" i="56"/>
  <c r="V237" i="56"/>
  <c r="X29" i="70"/>
  <c r="X30" i="70"/>
  <c r="W26" i="56"/>
  <c r="W27" i="72"/>
  <c r="W42" i="72" s="1"/>
  <c r="X8" i="74"/>
  <c r="W13" i="62"/>
  <c r="X69" i="74"/>
  <c r="W13" i="70" s="1"/>
  <c r="V7" i="56"/>
  <c r="V7" i="72"/>
  <c r="W18" i="60"/>
  <c r="W30" i="60" s="1"/>
  <c r="X29" i="74"/>
  <c r="X145" i="74"/>
  <c r="W7" i="56"/>
  <c r="Y69" i="74"/>
  <c r="X13" i="70" s="1"/>
  <c r="W7" i="72"/>
  <c r="X13" i="62"/>
  <c r="X18" i="60"/>
  <c r="X30" i="60" s="1"/>
  <c r="Y8" i="74"/>
  <c r="Y145" i="74"/>
  <c r="N31" i="84"/>
  <c r="N33" i="84" s="1"/>
  <c r="N24" i="84"/>
  <c r="W11" i="84"/>
  <c r="I65" i="68"/>
  <c r="C22" i="28"/>
  <c r="I67" i="68"/>
  <c r="C24" i="28"/>
  <c r="I66" i="68"/>
  <c r="C23" i="28"/>
  <c r="W171" i="56" l="1"/>
  <c r="W42" i="56"/>
  <c r="W236" i="56"/>
  <c r="W107" i="56"/>
  <c r="W297" i="56"/>
  <c r="Z89" i="74"/>
  <c r="Z157" i="74"/>
  <c r="X31" i="62"/>
  <c r="X15" i="62"/>
  <c r="W26" i="76"/>
  <c r="X7" i="72"/>
  <c r="Z29" i="74"/>
  <c r="X7" i="56"/>
  <c r="Y13" i="62"/>
  <c r="Z145" i="74"/>
  <c r="Z8" i="74"/>
  <c r="Z69" i="74"/>
  <c r="Y13" i="70" s="1"/>
  <c r="Y18" i="60"/>
  <c r="Y30" i="60" s="1"/>
  <c r="W238" i="56"/>
  <c r="W299" i="56"/>
  <c r="W109" i="56"/>
  <c r="W44" i="56"/>
  <c r="W173" i="56"/>
  <c r="X28" i="72"/>
  <c r="X43" i="72" s="1"/>
  <c r="X27" i="56"/>
  <c r="Y22" i="70"/>
  <c r="Y23" i="70"/>
  <c r="X26" i="72"/>
  <c r="X41" i="72" s="1"/>
  <c r="X25" i="56"/>
  <c r="Y33" i="54"/>
  <c r="Y29" i="54"/>
  <c r="W18" i="76"/>
  <c r="V11" i="56"/>
  <c r="V11" i="72"/>
  <c r="X73" i="74"/>
  <c r="V53" i="72" s="1"/>
  <c r="X149" i="74"/>
  <c r="X27" i="72"/>
  <c r="X42" i="72" s="1"/>
  <c r="X26" i="56"/>
  <c r="Y29" i="70"/>
  <c r="Y30" i="70"/>
  <c r="W235" i="56"/>
  <c r="W41" i="56"/>
  <c r="W170" i="56"/>
  <c r="W106" i="56"/>
  <c r="W296" i="56"/>
  <c r="V24" i="56"/>
  <c r="V25" i="72"/>
  <c r="V40" i="72" s="1"/>
  <c r="W15" i="70"/>
  <c r="W34" i="70"/>
  <c r="W16" i="70"/>
  <c r="W35" i="70" s="1"/>
  <c r="W45" i="70" s="1"/>
  <c r="W237" i="56"/>
  <c r="W298" i="56"/>
  <c r="W172" i="56"/>
  <c r="W108" i="56"/>
  <c r="W43" i="56"/>
  <c r="W11" i="72"/>
  <c r="Y73" i="74"/>
  <c r="W53" i="72" s="1"/>
  <c r="W11" i="56"/>
  <c r="Y149" i="74"/>
  <c r="X15" i="70"/>
  <c r="X34" i="70"/>
  <c r="X16" i="70"/>
  <c r="X35" i="70" s="1"/>
  <c r="X45" i="70" s="1"/>
  <c r="W31" i="62"/>
  <c r="W15" i="62"/>
  <c r="X49" i="54"/>
  <c r="X35" i="54"/>
  <c r="X51" i="54" s="1"/>
  <c r="Y41" i="70"/>
  <c r="Y42" i="70"/>
  <c r="N26" i="84"/>
  <c r="O13" i="84"/>
  <c r="X11" i="84"/>
  <c r="L11" i="60"/>
  <c r="F21" i="74"/>
  <c r="D79" i="72" s="1"/>
  <c r="G21" i="74"/>
  <c r="E79" i="72" s="1"/>
  <c r="H21" i="74"/>
  <c r="F79" i="72" s="1"/>
  <c r="I21" i="74"/>
  <c r="G79" i="72" s="1"/>
  <c r="J21" i="74"/>
  <c r="H79" i="72" s="1"/>
  <c r="K21" i="74"/>
  <c r="I79" i="72" s="1"/>
  <c r="L21" i="74"/>
  <c r="J79" i="72" s="1"/>
  <c r="M21" i="74"/>
  <c r="K79" i="72" s="1"/>
  <c r="N21" i="74"/>
  <c r="L79" i="72" s="1"/>
  <c r="O21" i="74"/>
  <c r="M79" i="72" s="1"/>
  <c r="P21" i="74"/>
  <c r="N79" i="72" s="1"/>
  <c r="Q21" i="74"/>
  <c r="O79" i="72" s="1"/>
  <c r="R21" i="74"/>
  <c r="P79" i="72" s="1"/>
  <c r="S21" i="74"/>
  <c r="Q79" i="72" s="1"/>
  <c r="T21" i="74"/>
  <c r="R79" i="72" s="1"/>
  <c r="U21" i="74"/>
  <c r="S79" i="72" s="1"/>
  <c r="V21" i="74"/>
  <c r="T79" i="72" s="1"/>
  <c r="W21" i="74"/>
  <c r="U79" i="72" s="1"/>
  <c r="F22" i="74"/>
  <c r="D80" i="72" s="1"/>
  <c r="G22" i="74"/>
  <c r="E80" i="72" s="1"/>
  <c r="H22" i="74"/>
  <c r="F80" i="72" s="1"/>
  <c r="I22" i="74"/>
  <c r="G80" i="72" s="1"/>
  <c r="J22" i="74"/>
  <c r="H80" i="72" s="1"/>
  <c r="K22" i="74"/>
  <c r="I80" i="72" s="1"/>
  <c r="L22" i="74"/>
  <c r="J80" i="72" s="1"/>
  <c r="M22" i="74"/>
  <c r="K80" i="72" s="1"/>
  <c r="N22" i="74"/>
  <c r="L80" i="72" s="1"/>
  <c r="O22" i="74"/>
  <c r="M80" i="72" s="1"/>
  <c r="P22" i="74"/>
  <c r="N80" i="72" s="1"/>
  <c r="Q22" i="74"/>
  <c r="O80" i="72" s="1"/>
  <c r="R22" i="74"/>
  <c r="P80" i="72" s="1"/>
  <c r="S22" i="74"/>
  <c r="Q80" i="72" s="1"/>
  <c r="T22" i="74"/>
  <c r="R80" i="72" s="1"/>
  <c r="U22" i="74"/>
  <c r="S80" i="72" s="1"/>
  <c r="V22" i="74"/>
  <c r="T80" i="72" s="1"/>
  <c r="W22" i="74"/>
  <c r="U80" i="72" s="1"/>
  <c r="F23" i="74"/>
  <c r="D81" i="72" s="1"/>
  <c r="G23" i="74"/>
  <c r="E81" i="72" s="1"/>
  <c r="H23" i="74"/>
  <c r="F81" i="72" s="1"/>
  <c r="I23" i="74"/>
  <c r="G81" i="72" s="1"/>
  <c r="J23" i="74"/>
  <c r="H81" i="72" s="1"/>
  <c r="K23" i="74"/>
  <c r="I81" i="72" s="1"/>
  <c r="L23" i="74"/>
  <c r="J81" i="72" s="1"/>
  <c r="M23" i="74"/>
  <c r="K81" i="72" s="1"/>
  <c r="N23" i="74"/>
  <c r="L81" i="72" s="1"/>
  <c r="O23" i="74"/>
  <c r="M81" i="72" s="1"/>
  <c r="P23" i="74"/>
  <c r="N81" i="72" s="1"/>
  <c r="Q23" i="74"/>
  <c r="O81" i="72" s="1"/>
  <c r="R23" i="74"/>
  <c r="P81" i="72" s="1"/>
  <c r="S23" i="74"/>
  <c r="Q81" i="72" s="1"/>
  <c r="T23" i="74"/>
  <c r="R81" i="72" s="1"/>
  <c r="U23" i="74"/>
  <c r="S81" i="72" s="1"/>
  <c r="V23" i="74"/>
  <c r="T81" i="72" s="1"/>
  <c r="W23" i="74"/>
  <c r="U81" i="72" s="1"/>
  <c r="G20" i="74"/>
  <c r="E78" i="72" s="1"/>
  <c r="H20" i="74"/>
  <c r="F78" i="72" s="1"/>
  <c r="I20" i="74"/>
  <c r="G78" i="72" s="1"/>
  <c r="J20" i="74"/>
  <c r="H78" i="72" s="1"/>
  <c r="K20" i="74"/>
  <c r="I78" i="72" s="1"/>
  <c r="L20" i="74"/>
  <c r="J78" i="72" s="1"/>
  <c r="M20" i="74"/>
  <c r="K78" i="72" s="1"/>
  <c r="N20" i="74"/>
  <c r="L78" i="72" s="1"/>
  <c r="O20" i="74"/>
  <c r="M78" i="72" s="1"/>
  <c r="P20" i="74"/>
  <c r="N78" i="72" s="1"/>
  <c r="Q20" i="74"/>
  <c r="O78" i="72" s="1"/>
  <c r="R20" i="74"/>
  <c r="P78" i="72" s="1"/>
  <c r="S20" i="74"/>
  <c r="Q78" i="72" s="1"/>
  <c r="T20" i="74"/>
  <c r="R78" i="72" s="1"/>
  <c r="U20" i="74"/>
  <c r="S78" i="72" s="1"/>
  <c r="V20" i="74"/>
  <c r="T78" i="72" s="1"/>
  <c r="W20" i="74"/>
  <c r="U78" i="72" s="1"/>
  <c r="F20" i="74"/>
  <c r="D78" i="72" s="1"/>
  <c r="F13" i="74"/>
  <c r="E21" i="54" s="1"/>
  <c r="G13" i="74"/>
  <c r="F21" i="54" s="1"/>
  <c r="H13" i="74"/>
  <c r="G21" i="54" s="1"/>
  <c r="I13" i="74"/>
  <c r="H21" i="54" s="1"/>
  <c r="J13" i="74"/>
  <c r="I21" i="54" s="1"/>
  <c r="K13" i="74"/>
  <c r="J21" i="54" s="1"/>
  <c r="L13" i="74"/>
  <c r="K21" i="54" s="1"/>
  <c r="M13" i="74"/>
  <c r="L21" i="54" s="1"/>
  <c r="N13" i="74"/>
  <c r="M21" i="54" s="1"/>
  <c r="O13" i="74"/>
  <c r="N21" i="54" s="1"/>
  <c r="P13" i="74"/>
  <c r="O21" i="54" s="1"/>
  <c r="Q13" i="74"/>
  <c r="P21" i="54" s="1"/>
  <c r="R13" i="74"/>
  <c r="Q21" i="54" s="1"/>
  <c r="S13" i="74"/>
  <c r="R21" i="54" s="1"/>
  <c r="T13" i="74"/>
  <c r="S21" i="54" s="1"/>
  <c r="U13" i="74"/>
  <c r="T21" i="54" s="1"/>
  <c r="V13" i="74"/>
  <c r="U21" i="54" s="1"/>
  <c r="W13" i="74"/>
  <c r="V21" i="54" s="1"/>
  <c r="F14" i="74"/>
  <c r="E27" i="54" s="1"/>
  <c r="G14" i="74"/>
  <c r="F27" i="54" s="1"/>
  <c r="H14" i="74"/>
  <c r="G27" i="54" s="1"/>
  <c r="I14" i="74"/>
  <c r="H27" i="54" s="1"/>
  <c r="J14" i="74"/>
  <c r="I27" i="54" s="1"/>
  <c r="K14" i="74"/>
  <c r="J27" i="54" s="1"/>
  <c r="L14" i="74"/>
  <c r="K27" i="54" s="1"/>
  <c r="M14" i="74"/>
  <c r="L27" i="54" s="1"/>
  <c r="N14" i="74"/>
  <c r="M27" i="54" s="1"/>
  <c r="O14" i="74"/>
  <c r="N27" i="54" s="1"/>
  <c r="P14" i="74"/>
  <c r="O27" i="54" s="1"/>
  <c r="Q14" i="74"/>
  <c r="P27" i="54" s="1"/>
  <c r="R14" i="74"/>
  <c r="Q27" i="54" s="1"/>
  <c r="S14" i="74"/>
  <c r="R27" i="54" s="1"/>
  <c r="T14" i="74"/>
  <c r="S27" i="54" s="1"/>
  <c r="U14" i="74"/>
  <c r="T27" i="54" s="1"/>
  <c r="V14" i="74"/>
  <c r="U27" i="54" s="1"/>
  <c r="W14" i="74"/>
  <c r="V27" i="54" s="1"/>
  <c r="F15" i="74"/>
  <c r="E39" i="54" s="1"/>
  <c r="G15" i="74"/>
  <c r="F39" i="54" s="1"/>
  <c r="H15" i="74"/>
  <c r="G39" i="54" s="1"/>
  <c r="I15" i="74"/>
  <c r="H39" i="54" s="1"/>
  <c r="J15" i="74"/>
  <c r="I39" i="54" s="1"/>
  <c r="K15" i="74"/>
  <c r="J39" i="54" s="1"/>
  <c r="L15" i="74"/>
  <c r="K39" i="54" s="1"/>
  <c r="M15" i="74"/>
  <c r="L39" i="54" s="1"/>
  <c r="N15" i="74"/>
  <c r="M39" i="54" s="1"/>
  <c r="O15" i="74"/>
  <c r="N39" i="54" s="1"/>
  <c r="P15" i="74"/>
  <c r="O39" i="54" s="1"/>
  <c r="Q15" i="74"/>
  <c r="P39" i="54" s="1"/>
  <c r="R15" i="74"/>
  <c r="Q39" i="54" s="1"/>
  <c r="S15" i="74"/>
  <c r="R39" i="54" s="1"/>
  <c r="T15" i="74"/>
  <c r="S39" i="54" s="1"/>
  <c r="U15" i="74"/>
  <c r="T39" i="54" s="1"/>
  <c r="V15" i="74"/>
  <c r="U39" i="54" s="1"/>
  <c r="W15" i="74"/>
  <c r="V39" i="54" s="1"/>
  <c r="G12" i="74"/>
  <c r="F15" i="54" s="1"/>
  <c r="H12" i="74"/>
  <c r="G15" i="54" s="1"/>
  <c r="I12" i="74"/>
  <c r="H15" i="54" s="1"/>
  <c r="J12" i="74"/>
  <c r="I15" i="54" s="1"/>
  <c r="K12" i="74"/>
  <c r="J15" i="54" s="1"/>
  <c r="L12" i="74"/>
  <c r="K15" i="54" s="1"/>
  <c r="M12" i="74"/>
  <c r="L15" i="54" s="1"/>
  <c r="N12" i="74"/>
  <c r="M15" i="54" s="1"/>
  <c r="O12" i="74"/>
  <c r="N15" i="54" s="1"/>
  <c r="P12" i="74"/>
  <c r="O15" i="54" s="1"/>
  <c r="Q12" i="74"/>
  <c r="P15" i="54" s="1"/>
  <c r="R12" i="74"/>
  <c r="Q15" i="54" s="1"/>
  <c r="S12" i="74"/>
  <c r="R15" i="54" s="1"/>
  <c r="T12" i="74"/>
  <c r="S15" i="54" s="1"/>
  <c r="U12" i="74"/>
  <c r="T15" i="54" s="1"/>
  <c r="V12" i="74"/>
  <c r="U15" i="54" s="1"/>
  <c r="W12" i="74"/>
  <c r="V15" i="54" s="1"/>
  <c r="F12" i="74"/>
  <c r="E15" i="54" s="1"/>
  <c r="F5" i="74"/>
  <c r="E19" i="62" s="1"/>
  <c r="G5" i="74"/>
  <c r="H5" i="74"/>
  <c r="I5" i="74"/>
  <c r="J5" i="74"/>
  <c r="K5" i="74"/>
  <c r="L5" i="74"/>
  <c r="M5" i="74"/>
  <c r="N5" i="74"/>
  <c r="O5" i="74"/>
  <c r="P5" i="74"/>
  <c r="Q5" i="74"/>
  <c r="R5" i="74"/>
  <c r="S5" i="74"/>
  <c r="T5" i="74"/>
  <c r="U5" i="74"/>
  <c r="V5" i="74"/>
  <c r="W5" i="74"/>
  <c r="F6" i="74"/>
  <c r="E25" i="62" s="1"/>
  <c r="G6" i="74"/>
  <c r="H6" i="74"/>
  <c r="I6" i="74"/>
  <c r="J6" i="74"/>
  <c r="K6" i="74"/>
  <c r="L6" i="74"/>
  <c r="M6" i="74"/>
  <c r="N6" i="74"/>
  <c r="O6" i="74"/>
  <c r="P6" i="74"/>
  <c r="Q6" i="74"/>
  <c r="R6" i="74"/>
  <c r="S6" i="74"/>
  <c r="T6" i="74"/>
  <c r="U6" i="74"/>
  <c r="V6" i="74"/>
  <c r="W6" i="74"/>
  <c r="F7" i="74"/>
  <c r="E37" i="62" s="1"/>
  <c r="G7" i="74"/>
  <c r="H7" i="74"/>
  <c r="I7" i="74"/>
  <c r="J7" i="74"/>
  <c r="K7" i="74"/>
  <c r="L7" i="74"/>
  <c r="M7" i="74"/>
  <c r="N7" i="74"/>
  <c r="O7" i="74"/>
  <c r="P7" i="74"/>
  <c r="Q7" i="74"/>
  <c r="R7" i="74"/>
  <c r="S7" i="74"/>
  <c r="T7" i="74"/>
  <c r="U7" i="74"/>
  <c r="V7" i="74"/>
  <c r="W7" i="74"/>
  <c r="G4" i="74"/>
  <c r="H4" i="74"/>
  <c r="I4" i="74"/>
  <c r="J4" i="74"/>
  <c r="K4" i="74"/>
  <c r="L4" i="74"/>
  <c r="M4" i="74"/>
  <c r="N4" i="74"/>
  <c r="O4" i="74"/>
  <c r="P4" i="74"/>
  <c r="Q4" i="74"/>
  <c r="R4" i="74"/>
  <c r="S4" i="74"/>
  <c r="T4" i="74"/>
  <c r="U4" i="74"/>
  <c r="V4" i="74"/>
  <c r="W4" i="74"/>
  <c r="F4" i="74"/>
  <c r="E13" i="62" s="1"/>
  <c r="G25" i="68"/>
  <c r="G24" i="68"/>
  <c r="G23" i="68"/>
  <c r="G22" i="68"/>
  <c r="X16" i="76"/>
  <c r="X17" i="76"/>
  <c r="X8" i="76"/>
  <c r="X9" i="76"/>
  <c r="W42" i="62" l="1"/>
  <c r="W33" i="62"/>
  <c r="W44" i="62" s="1"/>
  <c r="X25" i="72"/>
  <c r="X40" i="72" s="1"/>
  <c r="X24" i="56"/>
  <c r="V41" i="56"/>
  <c r="V296" i="56"/>
  <c r="V235" i="56"/>
  <c r="V170" i="56"/>
  <c r="V106" i="56"/>
  <c r="X237" i="56"/>
  <c r="X298" i="56"/>
  <c r="X172" i="56"/>
  <c r="X108" i="56"/>
  <c r="X43" i="56"/>
  <c r="Y49" i="54"/>
  <c r="Y35" i="54"/>
  <c r="Y51" i="54" s="1"/>
  <c r="Y31" i="62"/>
  <c r="Y15" i="62"/>
  <c r="Z73" i="74"/>
  <c r="X53" i="72" s="1"/>
  <c r="X11" i="72"/>
  <c r="X11" i="56"/>
  <c r="Z149" i="74"/>
  <c r="X42" i="62"/>
  <c r="X33" i="62"/>
  <c r="X44" i="62" s="1"/>
  <c r="X42" i="56"/>
  <c r="X107" i="56"/>
  <c r="X171" i="56"/>
  <c r="X297" i="56"/>
  <c r="X236" i="56"/>
  <c r="X299" i="56"/>
  <c r="X44" i="56"/>
  <c r="X238" i="56"/>
  <c r="X173" i="56"/>
  <c r="X109" i="56"/>
  <c r="Y16" i="70"/>
  <c r="Y35" i="70" s="1"/>
  <c r="Y45" i="70" s="1"/>
  <c r="Y15" i="70"/>
  <c r="Y34" i="70"/>
  <c r="O31" i="84"/>
  <c r="O33" i="84" s="1"/>
  <c r="O24" i="84"/>
  <c r="Y11" i="84"/>
  <c r="G47" i="68"/>
  <c r="R33" i="54"/>
  <c r="R49" i="54" s="1"/>
  <c r="J33" i="54"/>
  <c r="J49" i="54" s="1"/>
  <c r="V33" i="54"/>
  <c r="V49" i="54" s="1"/>
  <c r="N33" i="54"/>
  <c r="N49" i="54" s="1"/>
  <c r="F33" i="54"/>
  <c r="F49" i="54" s="1"/>
  <c r="T33" i="54"/>
  <c r="T49" i="54" s="1"/>
  <c r="P33" i="54"/>
  <c r="P49" i="54" s="1"/>
  <c r="L33" i="54"/>
  <c r="L49" i="54" s="1"/>
  <c r="H33" i="54"/>
  <c r="H49" i="54" s="1"/>
  <c r="V18" i="60"/>
  <c r="U7" i="72"/>
  <c r="V13" i="62"/>
  <c r="U7" i="56"/>
  <c r="F18" i="60"/>
  <c r="E7" i="72"/>
  <c r="F13" i="62"/>
  <c r="E7" i="56"/>
  <c r="G34" i="60"/>
  <c r="F10" i="56"/>
  <c r="G37" i="62"/>
  <c r="F10" i="72"/>
  <c r="N8" i="56"/>
  <c r="O19" i="62"/>
  <c r="O22" i="60"/>
  <c r="N8" i="72"/>
  <c r="U18" i="60"/>
  <c r="T7" i="72"/>
  <c r="T7" i="56"/>
  <c r="U13" i="62"/>
  <c r="Q18" i="60"/>
  <c r="P7" i="72"/>
  <c r="P7" i="56"/>
  <c r="Q13" i="62"/>
  <c r="M18" i="60"/>
  <c r="L7" i="72"/>
  <c r="L7" i="56"/>
  <c r="M13" i="62"/>
  <c r="I18" i="60"/>
  <c r="H7" i="72"/>
  <c r="H7" i="56"/>
  <c r="I13" i="62"/>
  <c r="V34" i="60"/>
  <c r="U10" i="72"/>
  <c r="V37" i="62"/>
  <c r="U10" i="56"/>
  <c r="Q10" i="72"/>
  <c r="R37" i="62"/>
  <c r="Q10" i="56"/>
  <c r="R34" i="60"/>
  <c r="N34" i="60"/>
  <c r="M10" i="72"/>
  <c r="N37" i="62"/>
  <c r="M10" i="56"/>
  <c r="I10" i="72"/>
  <c r="J34" i="60"/>
  <c r="J37" i="62"/>
  <c r="I10" i="56"/>
  <c r="F34" i="60"/>
  <c r="E10" i="72"/>
  <c r="F37" i="62"/>
  <c r="E10" i="56"/>
  <c r="T26" i="60"/>
  <c r="S9" i="56"/>
  <c r="S9" i="72"/>
  <c r="T25" i="62"/>
  <c r="P26" i="60"/>
  <c r="O9" i="56"/>
  <c r="O9" i="72"/>
  <c r="P25" i="62"/>
  <c r="L26" i="60"/>
  <c r="K9" i="56"/>
  <c r="K9" i="72"/>
  <c r="L25" i="62"/>
  <c r="H26" i="60"/>
  <c r="G9" i="56"/>
  <c r="G9" i="72"/>
  <c r="H25" i="62"/>
  <c r="U8" i="72"/>
  <c r="V22" i="60"/>
  <c r="V19" i="62"/>
  <c r="U8" i="56"/>
  <c r="R22" i="60"/>
  <c r="Q8" i="72"/>
  <c r="R19" i="62"/>
  <c r="Q8" i="56"/>
  <c r="M8" i="72"/>
  <c r="N19" i="62"/>
  <c r="M8" i="56"/>
  <c r="N22" i="60"/>
  <c r="J22" i="60"/>
  <c r="I8" i="72"/>
  <c r="J19" i="62"/>
  <c r="I8" i="56"/>
  <c r="E8" i="72"/>
  <c r="F22" i="60"/>
  <c r="F19" i="62"/>
  <c r="E8" i="56"/>
  <c r="U33" i="54"/>
  <c r="U49" i="54" s="1"/>
  <c r="Q33" i="54"/>
  <c r="Q49" i="54" s="1"/>
  <c r="M33" i="54"/>
  <c r="M49" i="54" s="1"/>
  <c r="I33" i="54"/>
  <c r="I49" i="54" s="1"/>
  <c r="I7" i="72"/>
  <c r="J18" i="60"/>
  <c r="J13" i="62"/>
  <c r="I7" i="56"/>
  <c r="O34" i="60"/>
  <c r="N10" i="56"/>
  <c r="O37" i="62"/>
  <c r="N10" i="72"/>
  <c r="Q26" i="60"/>
  <c r="P9" i="72"/>
  <c r="P9" i="56"/>
  <c r="Q25" i="62"/>
  <c r="I26" i="60"/>
  <c r="H9" i="72"/>
  <c r="H9" i="56"/>
  <c r="I25" i="62"/>
  <c r="K22" i="60"/>
  <c r="J8" i="72"/>
  <c r="K19" i="62"/>
  <c r="J8" i="56"/>
  <c r="L18" i="60"/>
  <c r="K7" i="56"/>
  <c r="K7" i="72"/>
  <c r="L13" i="62"/>
  <c r="O26" i="60"/>
  <c r="N9" i="72"/>
  <c r="O25" i="62"/>
  <c r="N9" i="56"/>
  <c r="U22" i="60"/>
  <c r="T8" i="72"/>
  <c r="T8" i="56"/>
  <c r="U19" i="62"/>
  <c r="Q7" i="72"/>
  <c r="R13" i="62"/>
  <c r="Q7" i="56"/>
  <c r="R18" i="60"/>
  <c r="N18" i="60"/>
  <c r="M7" i="72"/>
  <c r="N13" i="62"/>
  <c r="M7" i="56"/>
  <c r="R10" i="72"/>
  <c r="S37" i="62"/>
  <c r="S34" i="60"/>
  <c r="R10" i="56"/>
  <c r="J10" i="72"/>
  <c r="K34" i="60"/>
  <c r="K37" i="62"/>
  <c r="J10" i="56"/>
  <c r="U26" i="60"/>
  <c r="T9" i="72"/>
  <c r="T9" i="56"/>
  <c r="U25" i="62"/>
  <c r="M26" i="60"/>
  <c r="L9" i="72"/>
  <c r="L9" i="56"/>
  <c r="M25" i="62"/>
  <c r="S22" i="60"/>
  <c r="R8" i="72"/>
  <c r="S19" i="62"/>
  <c r="R8" i="56"/>
  <c r="F8" i="56"/>
  <c r="G22" i="60"/>
  <c r="G19" i="62"/>
  <c r="F8" i="72"/>
  <c r="T18" i="60"/>
  <c r="S7" i="56"/>
  <c r="S7" i="72"/>
  <c r="T13" i="62"/>
  <c r="P18" i="60"/>
  <c r="O7" i="56"/>
  <c r="O7" i="72"/>
  <c r="P13" i="62"/>
  <c r="H18" i="60"/>
  <c r="G7" i="56"/>
  <c r="G7" i="72"/>
  <c r="H13" i="62"/>
  <c r="U34" i="60"/>
  <c r="T10" i="72"/>
  <c r="T10" i="56"/>
  <c r="U37" i="62"/>
  <c r="Q34" i="60"/>
  <c r="P10" i="72"/>
  <c r="P10" i="56"/>
  <c r="Q37" i="62"/>
  <c r="M34" i="60"/>
  <c r="L10" i="72"/>
  <c r="L10" i="56"/>
  <c r="M37" i="62"/>
  <c r="I34" i="60"/>
  <c r="H10" i="72"/>
  <c r="H10" i="56"/>
  <c r="I37" i="62"/>
  <c r="R9" i="56"/>
  <c r="S26" i="60"/>
  <c r="S25" i="62"/>
  <c r="R9" i="72"/>
  <c r="J9" i="56"/>
  <c r="K25" i="62"/>
  <c r="K26" i="60"/>
  <c r="J9" i="72"/>
  <c r="G26" i="60"/>
  <c r="F9" i="72"/>
  <c r="G25" i="62"/>
  <c r="F9" i="56"/>
  <c r="Q22" i="60"/>
  <c r="P8" i="72"/>
  <c r="P8" i="56"/>
  <c r="Q19" i="62"/>
  <c r="M22" i="60"/>
  <c r="L8" i="72"/>
  <c r="L8" i="56"/>
  <c r="M19" i="62"/>
  <c r="I22" i="60"/>
  <c r="H8" i="72"/>
  <c r="H8" i="56"/>
  <c r="I19" i="62"/>
  <c r="R7" i="56"/>
  <c r="S13" i="62"/>
  <c r="S18" i="60"/>
  <c r="R7" i="72"/>
  <c r="O18" i="60"/>
  <c r="N7" i="72"/>
  <c r="O13" i="62"/>
  <c r="N7" i="56"/>
  <c r="J7" i="56"/>
  <c r="K18" i="60"/>
  <c r="K13" i="62"/>
  <c r="J7" i="72"/>
  <c r="G18" i="60"/>
  <c r="F7" i="72"/>
  <c r="G13" i="62"/>
  <c r="G31" i="62" s="1"/>
  <c r="G42" i="62" s="1"/>
  <c r="F7" i="56"/>
  <c r="T34" i="60"/>
  <c r="S10" i="56"/>
  <c r="S10" i="72"/>
  <c r="T37" i="62"/>
  <c r="P34" i="60"/>
  <c r="O10" i="56"/>
  <c r="P37" i="62"/>
  <c r="O10" i="72"/>
  <c r="L34" i="60"/>
  <c r="K10" i="56"/>
  <c r="K10" i="72"/>
  <c r="L37" i="62"/>
  <c r="H34" i="60"/>
  <c r="G10" i="56"/>
  <c r="G10" i="72"/>
  <c r="H37" i="62"/>
  <c r="V26" i="60"/>
  <c r="U9" i="72"/>
  <c r="V25" i="62"/>
  <c r="U9" i="56"/>
  <c r="Q9" i="72"/>
  <c r="R26" i="60"/>
  <c r="R25" i="62"/>
  <c r="Q9" i="56"/>
  <c r="N26" i="60"/>
  <c r="M9" i="72"/>
  <c r="N25" i="62"/>
  <c r="M9" i="56"/>
  <c r="I9" i="72"/>
  <c r="J25" i="62"/>
  <c r="I9" i="56"/>
  <c r="J26" i="60"/>
  <c r="F26" i="60"/>
  <c r="E9" i="72"/>
  <c r="F25" i="62"/>
  <c r="E9" i="56"/>
  <c r="T22" i="60"/>
  <c r="S8" i="56"/>
  <c r="S8" i="72"/>
  <c r="T19" i="62"/>
  <c r="P22" i="60"/>
  <c r="O8" i="56"/>
  <c r="O8" i="72"/>
  <c r="P19" i="62"/>
  <c r="L22" i="60"/>
  <c r="K8" i="56"/>
  <c r="K8" i="72"/>
  <c r="L19" i="62"/>
  <c r="H22" i="60"/>
  <c r="G8" i="56"/>
  <c r="G8" i="72"/>
  <c r="H19" i="62"/>
  <c r="S33" i="54"/>
  <c r="S49" i="54" s="1"/>
  <c r="O33" i="54"/>
  <c r="O49" i="54" s="1"/>
  <c r="K33" i="54"/>
  <c r="K49" i="54" s="1"/>
  <c r="G33" i="54"/>
  <c r="G49" i="54" s="1"/>
  <c r="E31" i="62"/>
  <c r="E42" i="62" s="1"/>
  <c r="E33" i="54"/>
  <c r="N60" i="54" a="1"/>
  <c r="F62" i="74"/>
  <c r="G62" i="74"/>
  <c r="E86" i="72" s="1"/>
  <c r="H62" i="74"/>
  <c r="F86" i="72" s="1"/>
  <c r="I62" i="74"/>
  <c r="G86" i="72" s="1"/>
  <c r="J62" i="74"/>
  <c r="H86" i="72" s="1"/>
  <c r="K62" i="74"/>
  <c r="I86" i="72" s="1"/>
  <c r="L62" i="74"/>
  <c r="J86" i="72" s="1"/>
  <c r="M62" i="74"/>
  <c r="K86" i="72" s="1"/>
  <c r="N62" i="74"/>
  <c r="L86" i="72" s="1"/>
  <c r="O62" i="74"/>
  <c r="M86" i="72" s="1"/>
  <c r="P62" i="74"/>
  <c r="N86" i="72" s="1"/>
  <c r="Q62" i="74"/>
  <c r="O86" i="72" s="1"/>
  <c r="R62" i="74"/>
  <c r="P86" i="72" s="1"/>
  <c r="S62" i="74"/>
  <c r="Q86" i="72" s="1"/>
  <c r="T62" i="74"/>
  <c r="R86" i="72" s="1"/>
  <c r="U62" i="74"/>
  <c r="S86" i="72" s="1"/>
  <c r="V62" i="74"/>
  <c r="T86" i="72" s="1"/>
  <c r="W62" i="74"/>
  <c r="U86" i="72" s="1"/>
  <c r="F63" i="74"/>
  <c r="D87" i="72" s="1"/>
  <c r="G63" i="74"/>
  <c r="E87" i="72" s="1"/>
  <c r="H63" i="74"/>
  <c r="F87" i="72" s="1"/>
  <c r="I63" i="74"/>
  <c r="G87" i="72" s="1"/>
  <c r="J63" i="74"/>
  <c r="H87" i="72" s="1"/>
  <c r="K63" i="74"/>
  <c r="I87" i="72" s="1"/>
  <c r="L63" i="74"/>
  <c r="J87" i="72" s="1"/>
  <c r="M63" i="74"/>
  <c r="K87" i="72" s="1"/>
  <c r="N63" i="74"/>
  <c r="L87" i="72" s="1"/>
  <c r="O63" i="74"/>
  <c r="M87" i="72" s="1"/>
  <c r="P63" i="74"/>
  <c r="N87" i="72" s="1"/>
  <c r="Q63" i="74"/>
  <c r="O87" i="72" s="1"/>
  <c r="R63" i="74"/>
  <c r="P87" i="72" s="1"/>
  <c r="S63" i="74"/>
  <c r="Q87" i="72" s="1"/>
  <c r="T63" i="74"/>
  <c r="R87" i="72" s="1"/>
  <c r="U63" i="74"/>
  <c r="S87" i="72" s="1"/>
  <c r="V63" i="74"/>
  <c r="T87" i="72" s="1"/>
  <c r="W63" i="74"/>
  <c r="U87" i="72" s="1"/>
  <c r="F64" i="74"/>
  <c r="D88" i="72" s="1"/>
  <c r="G64" i="74"/>
  <c r="E88" i="72" s="1"/>
  <c r="H64" i="74"/>
  <c r="F88" i="72" s="1"/>
  <c r="I64" i="74"/>
  <c r="G88" i="72" s="1"/>
  <c r="J64" i="74"/>
  <c r="H88" i="72" s="1"/>
  <c r="K64" i="74"/>
  <c r="I88" i="72" s="1"/>
  <c r="L64" i="74"/>
  <c r="J88" i="72" s="1"/>
  <c r="M64" i="74"/>
  <c r="K88" i="72" s="1"/>
  <c r="N64" i="74"/>
  <c r="L88" i="72" s="1"/>
  <c r="O64" i="74"/>
  <c r="M88" i="72" s="1"/>
  <c r="P64" i="74"/>
  <c r="N88" i="72" s="1"/>
  <c r="Q64" i="74"/>
  <c r="O88" i="72" s="1"/>
  <c r="R64" i="74"/>
  <c r="P88" i="72" s="1"/>
  <c r="S64" i="74"/>
  <c r="Q88" i="72" s="1"/>
  <c r="T64" i="74"/>
  <c r="R88" i="72" s="1"/>
  <c r="U64" i="74"/>
  <c r="S88" i="72" s="1"/>
  <c r="V64" i="74"/>
  <c r="T88" i="72" s="1"/>
  <c r="W64" i="74"/>
  <c r="U88" i="72" s="1"/>
  <c r="G61" i="74"/>
  <c r="E85" i="72" s="1"/>
  <c r="H61" i="74"/>
  <c r="F85" i="72" s="1"/>
  <c r="I61" i="74"/>
  <c r="G85" i="72" s="1"/>
  <c r="J61" i="74"/>
  <c r="H85" i="72" s="1"/>
  <c r="K61" i="74"/>
  <c r="I85" i="72" s="1"/>
  <c r="L61" i="74"/>
  <c r="J85" i="72" s="1"/>
  <c r="M61" i="74"/>
  <c r="K85" i="72" s="1"/>
  <c r="N61" i="74"/>
  <c r="L85" i="72" s="1"/>
  <c r="O61" i="74"/>
  <c r="M85" i="72" s="1"/>
  <c r="P61" i="74"/>
  <c r="N85" i="72" s="1"/>
  <c r="Q61" i="74"/>
  <c r="O85" i="72" s="1"/>
  <c r="R61" i="74"/>
  <c r="P85" i="72" s="1"/>
  <c r="S61" i="74"/>
  <c r="Q85" i="72" s="1"/>
  <c r="T61" i="74"/>
  <c r="R85" i="72" s="1"/>
  <c r="U61" i="74"/>
  <c r="S85" i="72" s="1"/>
  <c r="V61" i="74"/>
  <c r="T85" i="72" s="1"/>
  <c r="W61" i="74"/>
  <c r="U85" i="72" s="1"/>
  <c r="F61" i="74"/>
  <c r="F46" i="74"/>
  <c r="E22" i="54" s="1"/>
  <c r="E23" i="54" s="1"/>
  <c r="G46" i="74"/>
  <c r="F22" i="54" s="1"/>
  <c r="F23" i="54" s="1"/>
  <c r="H46" i="74"/>
  <c r="G22" i="54" s="1"/>
  <c r="G23" i="54" s="1"/>
  <c r="I46" i="74"/>
  <c r="H22" i="54" s="1"/>
  <c r="H23" i="54" s="1"/>
  <c r="J46" i="74"/>
  <c r="I22" i="54" s="1"/>
  <c r="I23" i="54" s="1"/>
  <c r="K46" i="74"/>
  <c r="J22" i="54" s="1"/>
  <c r="J23" i="54" s="1"/>
  <c r="L46" i="74"/>
  <c r="K22" i="54" s="1"/>
  <c r="K23" i="54" s="1"/>
  <c r="M46" i="74"/>
  <c r="L22" i="54" s="1"/>
  <c r="L23" i="54" s="1"/>
  <c r="N46" i="74"/>
  <c r="M22" i="54" s="1"/>
  <c r="M23" i="54" s="1"/>
  <c r="O46" i="74"/>
  <c r="N22" i="54" s="1"/>
  <c r="N23" i="54" s="1"/>
  <c r="P46" i="74"/>
  <c r="O22" i="54" s="1"/>
  <c r="O23" i="54" s="1"/>
  <c r="Q46" i="74"/>
  <c r="P22" i="54" s="1"/>
  <c r="P23" i="54" s="1"/>
  <c r="R46" i="74"/>
  <c r="Q22" i="54" s="1"/>
  <c r="Q23" i="54" s="1"/>
  <c r="S46" i="74"/>
  <c r="R22" i="54" s="1"/>
  <c r="R23" i="54" s="1"/>
  <c r="T46" i="74"/>
  <c r="S22" i="54" s="1"/>
  <c r="S23" i="54" s="1"/>
  <c r="U46" i="74"/>
  <c r="T22" i="54" s="1"/>
  <c r="T23" i="54" s="1"/>
  <c r="V46" i="74"/>
  <c r="U22" i="54" s="1"/>
  <c r="U23" i="54" s="1"/>
  <c r="W46" i="74"/>
  <c r="V22" i="54" s="1"/>
  <c r="V23" i="54" s="1"/>
  <c r="F47" i="74"/>
  <c r="E28" i="54" s="1"/>
  <c r="E29" i="54" s="1"/>
  <c r="G47" i="74"/>
  <c r="F28" i="54" s="1"/>
  <c r="F29" i="54" s="1"/>
  <c r="H47" i="74"/>
  <c r="G28" i="54" s="1"/>
  <c r="G29" i="54" s="1"/>
  <c r="I47" i="74"/>
  <c r="H28" i="54" s="1"/>
  <c r="H29" i="54" s="1"/>
  <c r="J47" i="74"/>
  <c r="I28" i="54" s="1"/>
  <c r="I29" i="54" s="1"/>
  <c r="K47" i="74"/>
  <c r="J28" i="54" s="1"/>
  <c r="J29" i="54" s="1"/>
  <c r="L47" i="74"/>
  <c r="K28" i="54" s="1"/>
  <c r="K29" i="54" s="1"/>
  <c r="M47" i="74"/>
  <c r="L28" i="54" s="1"/>
  <c r="L29" i="54" s="1"/>
  <c r="N47" i="74"/>
  <c r="M28" i="54" s="1"/>
  <c r="M29" i="54" s="1"/>
  <c r="O47" i="74"/>
  <c r="N28" i="54" s="1"/>
  <c r="N29" i="54" s="1"/>
  <c r="P47" i="74"/>
  <c r="O28" i="54" s="1"/>
  <c r="O29" i="54" s="1"/>
  <c r="Q47" i="74"/>
  <c r="P28" i="54" s="1"/>
  <c r="P29" i="54" s="1"/>
  <c r="R47" i="74"/>
  <c r="Q28" i="54" s="1"/>
  <c r="Q29" i="54" s="1"/>
  <c r="S47" i="74"/>
  <c r="R28" i="54" s="1"/>
  <c r="R29" i="54" s="1"/>
  <c r="T47" i="74"/>
  <c r="S28" i="54" s="1"/>
  <c r="S29" i="54" s="1"/>
  <c r="U47" i="74"/>
  <c r="T28" i="54" s="1"/>
  <c r="T29" i="54" s="1"/>
  <c r="V47" i="74"/>
  <c r="U28" i="54" s="1"/>
  <c r="U29" i="54" s="1"/>
  <c r="W47" i="74"/>
  <c r="V28" i="54" s="1"/>
  <c r="V29" i="54" s="1"/>
  <c r="F48" i="74"/>
  <c r="E40" i="54" s="1"/>
  <c r="E41" i="54" s="1"/>
  <c r="E45" i="54" s="1"/>
  <c r="E46" i="54" s="1"/>
  <c r="G48" i="74"/>
  <c r="F40" i="54" s="1"/>
  <c r="F41" i="54" s="1"/>
  <c r="F45" i="54" s="1"/>
  <c r="F46" i="54" s="1"/>
  <c r="H48" i="74"/>
  <c r="G40" i="54" s="1"/>
  <c r="G41" i="54" s="1"/>
  <c r="G45" i="54" s="1"/>
  <c r="G46" i="54" s="1"/>
  <c r="I48" i="74"/>
  <c r="H40" i="54" s="1"/>
  <c r="H41" i="54" s="1"/>
  <c r="H45" i="54" s="1"/>
  <c r="H46" i="54" s="1"/>
  <c r="J48" i="74"/>
  <c r="I40" i="54" s="1"/>
  <c r="I41" i="54" s="1"/>
  <c r="I45" i="54" s="1"/>
  <c r="I46" i="54" s="1"/>
  <c r="K48" i="74"/>
  <c r="J40" i="54" s="1"/>
  <c r="J41" i="54" s="1"/>
  <c r="J45" i="54" s="1"/>
  <c r="J46" i="54" s="1"/>
  <c r="L48" i="74"/>
  <c r="K40" i="54" s="1"/>
  <c r="K41" i="54" s="1"/>
  <c r="K45" i="54" s="1"/>
  <c r="K46" i="54" s="1"/>
  <c r="M48" i="74"/>
  <c r="L40" i="54" s="1"/>
  <c r="L41" i="54" s="1"/>
  <c r="L45" i="54" s="1"/>
  <c r="L46" i="54" s="1"/>
  <c r="N48" i="74"/>
  <c r="M40" i="54" s="1"/>
  <c r="M41" i="54" s="1"/>
  <c r="M45" i="54" s="1"/>
  <c r="M46" i="54" s="1"/>
  <c r="O48" i="74"/>
  <c r="N40" i="54" s="1"/>
  <c r="N41" i="54" s="1"/>
  <c r="N45" i="54" s="1"/>
  <c r="N46" i="54" s="1"/>
  <c r="P48" i="74"/>
  <c r="O40" i="54" s="1"/>
  <c r="O41" i="54" s="1"/>
  <c r="O45" i="54" s="1"/>
  <c r="O46" i="54" s="1"/>
  <c r="Q48" i="74"/>
  <c r="P40" i="54" s="1"/>
  <c r="P41" i="54" s="1"/>
  <c r="P45" i="54" s="1"/>
  <c r="P46" i="54" s="1"/>
  <c r="R48" i="74"/>
  <c r="Q40" i="54" s="1"/>
  <c r="Q41" i="54" s="1"/>
  <c r="Q45" i="54" s="1"/>
  <c r="Q46" i="54" s="1"/>
  <c r="S48" i="74"/>
  <c r="R40" i="54" s="1"/>
  <c r="R41" i="54" s="1"/>
  <c r="R45" i="54" s="1"/>
  <c r="R46" i="54" s="1"/>
  <c r="T48" i="74"/>
  <c r="S40" i="54" s="1"/>
  <c r="S41" i="54" s="1"/>
  <c r="S45" i="54" s="1"/>
  <c r="S46" i="54" s="1"/>
  <c r="U48" i="74"/>
  <c r="T40" i="54" s="1"/>
  <c r="T41" i="54" s="1"/>
  <c r="T45" i="54" s="1"/>
  <c r="T46" i="54" s="1"/>
  <c r="V48" i="74"/>
  <c r="U40" i="54" s="1"/>
  <c r="U41" i="54" s="1"/>
  <c r="U45" i="54" s="1"/>
  <c r="U46" i="54" s="1"/>
  <c r="W48" i="74"/>
  <c r="V40" i="54" s="1"/>
  <c r="V41" i="54" s="1"/>
  <c r="V45" i="54" s="1"/>
  <c r="V46" i="54" s="1"/>
  <c r="G45" i="74"/>
  <c r="F16" i="54" s="1"/>
  <c r="H45" i="74"/>
  <c r="G16" i="54" s="1"/>
  <c r="I45" i="74"/>
  <c r="H16" i="54" s="1"/>
  <c r="J45" i="74"/>
  <c r="I16" i="54" s="1"/>
  <c r="K45" i="74"/>
  <c r="J16" i="54" s="1"/>
  <c r="L45" i="74"/>
  <c r="K16" i="54" s="1"/>
  <c r="M45" i="74"/>
  <c r="L16" i="54" s="1"/>
  <c r="N45" i="74"/>
  <c r="M16" i="54" s="1"/>
  <c r="O45" i="74"/>
  <c r="N16" i="54" s="1"/>
  <c r="P45" i="74"/>
  <c r="O16" i="54" s="1"/>
  <c r="Q45" i="74"/>
  <c r="P16" i="54" s="1"/>
  <c r="R45" i="74"/>
  <c r="Q16" i="54" s="1"/>
  <c r="S45" i="74"/>
  <c r="R16" i="54" s="1"/>
  <c r="T45" i="74"/>
  <c r="S16" i="54" s="1"/>
  <c r="U45" i="74"/>
  <c r="T16" i="54" s="1"/>
  <c r="V45" i="74"/>
  <c r="U16" i="54" s="1"/>
  <c r="W45" i="74"/>
  <c r="V16" i="54" s="1"/>
  <c r="F45" i="74"/>
  <c r="E16" i="54" s="1"/>
  <c r="F38" i="74"/>
  <c r="G38" i="74"/>
  <c r="H38" i="74"/>
  <c r="I38" i="74"/>
  <c r="J38" i="74"/>
  <c r="K38" i="74"/>
  <c r="L38" i="74"/>
  <c r="M38" i="74"/>
  <c r="N38" i="74"/>
  <c r="O38" i="74"/>
  <c r="P38" i="74"/>
  <c r="Q38" i="74"/>
  <c r="R38" i="74"/>
  <c r="S38" i="74"/>
  <c r="T38" i="74"/>
  <c r="U38" i="74"/>
  <c r="V38" i="74"/>
  <c r="W38" i="74"/>
  <c r="F39" i="74"/>
  <c r="E26" i="62" s="1"/>
  <c r="E27" i="62" s="1"/>
  <c r="G39" i="74"/>
  <c r="H39" i="74"/>
  <c r="I39" i="74"/>
  <c r="J39" i="74"/>
  <c r="K39" i="74"/>
  <c r="L39" i="74"/>
  <c r="M39" i="74"/>
  <c r="N39" i="74"/>
  <c r="O39" i="74"/>
  <c r="P39" i="74"/>
  <c r="Q39" i="74"/>
  <c r="R39" i="74"/>
  <c r="S39" i="74"/>
  <c r="T39" i="74"/>
  <c r="U39" i="74"/>
  <c r="V39" i="74"/>
  <c r="W39" i="74"/>
  <c r="F40" i="74"/>
  <c r="E38" i="62" s="1"/>
  <c r="E39" i="62" s="1"/>
  <c r="G40" i="74"/>
  <c r="H40" i="74"/>
  <c r="I40" i="74"/>
  <c r="J40" i="74"/>
  <c r="K40" i="74"/>
  <c r="L40" i="74"/>
  <c r="M40" i="74"/>
  <c r="N40" i="74"/>
  <c r="O40" i="74"/>
  <c r="P40" i="74"/>
  <c r="Q40" i="74"/>
  <c r="R40" i="74"/>
  <c r="S40" i="74"/>
  <c r="T40" i="74"/>
  <c r="U40" i="74"/>
  <c r="V40" i="74"/>
  <c r="W40" i="74"/>
  <c r="G37" i="74"/>
  <c r="H37" i="74"/>
  <c r="I37" i="74"/>
  <c r="J37" i="74"/>
  <c r="K37" i="74"/>
  <c r="L37" i="74"/>
  <c r="M37" i="74"/>
  <c r="N37" i="74"/>
  <c r="O37" i="74"/>
  <c r="P37" i="74"/>
  <c r="Q37" i="74"/>
  <c r="R37" i="74"/>
  <c r="S37" i="74"/>
  <c r="T37" i="74"/>
  <c r="U37" i="74"/>
  <c r="V37" i="74"/>
  <c r="W37" i="74"/>
  <c r="F37" i="74"/>
  <c r="B91" i="74"/>
  <c r="B75" i="74"/>
  <c r="B59" i="74"/>
  <c r="B51" i="74"/>
  <c r="B43" i="74"/>
  <c r="B35" i="74"/>
  <c r="P5" i="78"/>
  <c r="P6" i="78"/>
  <c r="P7" i="78"/>
  <c r="P8" i="78"/>
  <c r="P9" i="78"/>
  <c r="P10" i="78"/>
  <c r="P11" i="78"/>
  <c r="P12" i="78"/>
  <c r="P13" i="78"/>
  <c r="P14" i="78"/>
  <c r="P15" i="78"/>
  <c r="P16" i="78"/>
  <c r="P17" i="78"/>
  <c r="P18" i="78"/>
  <c r="P19" i="78"/>
  <c r="P4" i="78"/>
  <c r="O5" i="78"/>
  <c r="B56" i="78" s="1"/>
  <c r="C7" i="77" s="1"/>
  <c r="O6" i="78"/>
  <c r="O7" i="78"/>
  <c r="O8" i="78"/>
  <c r="O9" i="78"/>
  <c r="O10" i="78"/>
  <c r="O11" i="78"/>
  <c r="O12" i="78"/>
  <c r="O13" i="78"/>
  <c r="O14" i="78"/>
  <c r="O15" i="78"/>
  <c r="O16" i="78"/>
  <c r="O17" i="78"/>
  <c r="O18" i="78"/>
  <c r="O19" i="78"/>
  <c r="O4" i="78"/>
  <c r="X106" i="56" l="1"/>
  <c r="X296" i="56"/>
  <c r="X41" i="56"/>
  <c r="X235" i="56"/>
  <c r="X170" i="56"/>
  <c r="Y42" i="62"/>
  <c r="Y33" i="62"/>
  <c r="Y44" i="62" s="1"/>
  <c r="O26" i="84"/>
  <c r="P13" i="84"/>
  <c r="B57" i="78"/>
  <c r="C8" i="77" s="1"/>
  <c r="S31" i="62"/>
  <c r="S42" i="62" s="1"/>
  <c r="O30" i="60"/>
  <c r="K30" i="60"/>
  <c r="N53" i="62" a="1"/>
  <c r="N63" i="62" s="1"/>
  <c r="G30" i="60"/>
  <c r="R30" i="60"/>
  <c r="K31" i="62"/>
  <c r="K42" i="62" s="1"/>
  <c r="O31" i="62"/>
  <c r="O42" i="62" s="1"/>
  <c r="G92" i="54" a="1"/>
  <c r="H31" i="62"/>
  <c r="H42" i="62" s="1"/>
  <c r="M31" i="62"/>
  <c r="M42" i="62" s="1"/>
  <c r="U31" i="62"/>
  <c r="U42" i="62" s="1"/>
  <c r="S30" i="60"/>
  <c r="N31" i="62"/>
  <c r="N42" i="62" s="1"/>
  <c r="J31" i="62"/>
  <c r="J42" i="62" s="1"/>
  <c r="F31" i="62"/>
  <c r="F42" i="62" s="1"/>
  <c r="V31" i="62"/>
  <c r="V42" i="62" s="1"/>
  <c r="P31" i="62"/>
  <c r="P42" i="62" s="1"/>
  <c r="L31" i="62"/>
  <c r="L42" i="62" s="1"/>
  <c r="I31" i="62"/>
  <c r="I42" i="62" s="1"/>
  <c r="Q31" i="62"/>
  <c r="Q42" i="62" s="1"/>
  <c r="R31" i="62"/>
  <c r="R42" i="62" s="1"/>
  <c r="J30" i="60"/>
  <c r="T31" i="62"/>
  <c r="T42" i="62" s="1"/>
  <c r="H30" i="60"/>
  <c r="P30" i="60"/>
  <c r="T30" i="60"/>
  <c r="N30" i="60"/>
  <c r="L30" i="60"/>
  <c r="I30" i="60"/>
  <c r="M30" i="60"/>
  <c r="Q30" i="60"/>
  <c r="U30" i="60"/>
  <c r="F30" i="60"/>
  <c r="V30" i="60"/>
  <c r="E49" i="54"/>
  <c r="M60" i="54" a="1"/>
  <c r="E20" i="62"/>
  <c r="E21" i="62" s="1"/>
  <c r="AB38" i="74"/>
  <c r="D86" i="72"/>
  <c r="AA62" i="74"/>
  <c r="E14" i="62"/>
  <c r="AB37" i="74"/>
  <c r="D85" i="72"/>
  <c r="AA61" i="74"/>
  <c r="S42" i="60"/>
  <c r="R16" i="56"/>
  <c r="R16" i="72"/>
  <c r="S14" i="62"/>
  <c r="N16" i="56"/>
  <c r="O42" i="60"/>
  <c r="N16" i="72"/>
  <c r="O14" i="62"/>
  <c r="J16" i="56"/>
  <c r="K42" i="60"/>
  <c r="K14" i="62"/>
  <c r="J16" i="72"/>
  <c r="F16" i="56"/>
  <c r="F16" i="72"/>
  <c r="G42" i="60"/>
  <c r="G14" i="62"/>
  <c r="T58" i="60"/>
  <c r="S19" i="56"/>
  <c r="S19" i="72"/>
  <c r="T38" i="62"/>
  <c r="T39" i="62" s="1"/>
  <c r="P58" i="60"/>
  <c r="O19" i="56"/>
  <c r="O19" i="72"/>
  <c r="P38" i="62"/>
  <c r="P39" i="62" s="1"/>
  <c r="K19" i="72"/>
  <c r="L38" i="62"/>
  <c r="L39" i="62" s="1"/>
  <c r="L58" i="60"/>
  <c r="K19" i="56"/>
  <c r="H58" i="60"/>
  <c r="G19" i="56"/>
  <c r="G19" i="72"/>
  <c r="H38" i="62"/>
  <c r="H39" i="62" s="1"/>
  <c r="V50" i="60"/>
  <c r="U18" i="72"/>
  <c r="U18" i="56"/>
  <c r="V26" i="62"/>
  <c r="V27" i="62" s="1"/>
  <c r="Q18" i="72"/>
  <c r="R50" i="60"/>
  <c r="Q18" i="56"/>
  <c r="R26" i="62"/>
  <c r="R27" i="62" s="1"/>
  <c r="N50" i="60"/>
  <c r="M18" i="56"/>
  <c r="M18" i="72"/>
  <c r="N26" i="62"/>
  <c r="N27" i="62" s="1"/>
  <c r="I18" i="72"/>
  <c r="J50" i="60"/>
  <c r="I18" i="56"/>
  <c r="J26" i="62"/>
  <c r="J27" i="62" s="1"/>
  <c r="F50" i="60"/>
  <c r="E18" i="72"/>
  <c r="E18" i="56"/>
  <c r="F26" i="62"/>
  <c r="F27" i="62" s="1"/>
  <c r="T46" i="60"/>
  <c r="S17" i="56"/>
  <c r="S17" i="72"/>
  <c r="T20" i="62"/>
  <c r="T21" i="62" s="1"/>
  <c r="P46" i="60"/>
  <c r="O17" i="56"/>
  <c r="P20" i="62"/>
  <c r="P21" i="62" s="1"/>
  <c r="O17" i="72"/>
  <c r="L46" i="60"/>
  <c r="K17" i="56"/>
  <c r="K17" i="72"/>
  <c r="L20" i="62"/>
  <c r="L21" i="62" s="1"/>
  <c r="H46" i="60"/>
  <c r="G17" i="56"/>
  <c r="G17" i="72"/>
  <c r="H20" i="62"/>
  <c r="H21" i="62" s="1"/>
  <c r="S17" i="54"/>
  <c r="S34" i="54"/>
  <c r="O17" i="54"/>
  <c r="O34" i="54"/>
  <c r="K17" i="54"/>
  <c r="K34" i="54"/>
  <c r="G17" i="54"/>
  <c r="G34" i="54"/>
  <c r="U16" i="56"/>
  <c r="U16" i="72"/>
  <c r="V42" i="60"/>
  <c r="V14" i="62"/>
  <c r="R42" i="60"/>
  <c r="Q16" i="72"/>
  <c r="Q16" i="56"/>
  <c r="R14" i="62"/>
  <c r="N42" i="60"/>
  <c r="M16" i="72"/>
  <c r="M16" i="56"/>
  <c r="N14" i="62"/>
  <c r="I16" i="72"/>
  <c r="J42" i="60"/>
  <c r="I16" i="56"/>
  <c r="J14" i="62"/>
  <c r="E16" i="56"/>
  <c r="E16" i="72"/>
  <c r="F42" i="60"/>
  <c r="F14" i="62"/>
  <c r="R19" i="56"/>
  <c r="S58" i="60"/>
  <c r="R19" i="72"/>
  <c r="S38" i="62"/>
  <c r="S39" i="62" s="1"/>
  <c r="N19" i="56"/>
  <c r="O58" i="60"/>
  <c r="N19" i="72"/>
  <c r="O38" i="62"/>
  <c r="O39" i="62" s="1"/>
  <c r="J19" i="56"/>
  <c r="K58" i="60"/>
  <c r="J19" i="72"/>
  <c r="K38" i="62"/>
  <c r="K39" i="62" s="1"/>
  <c r="F19" i="56"/>
  <c r="F19" i="72"/>
  <c r="G58" i="60"/>
  <c r="G38" i="62"/>
  <c r="G39" i="62" s="1"/>
  <c r="U50" i="60"/>
  <c r="T18" i="56"/>
  <c r="U26" i="62"/>
  <c r="U27" i="62" s="1"/>
  <c r="T18" i="72"/>
  <c r="Q50" i="60"/>
  <c r="Q26" i="62"/>
  <c r="Q27" i="62" s="1"/>
  <c r="P18" i="56"/>
  <c r="P18" i="72"/>
  <c r="L18" i="56"/>
  <c r="M26" i="62"/>
  <c r="M27" i="62" s="1"/>
  <c r="L18" i="72"/>
  <c r="M50" i="60"/>
  <c r="H18" i="56"/>
  <c r="I50" i="60"/>
  <c r="H18" i="72"/>
  <c r="I26" i="62"/>
  <c r="I27" i="62" s="1"/>
  <c r="R17" i="56"/>
  <c r="S46" i="60"/>
  <c r="R17" i="72"/>
  <c r="S20" i="62"/>
  <c r="S21" i="62" s="1"/>
  <c r="O46" i="60"/>
  <c r="N17" i="56"/>
  <c r="N17" i="72"/>
  <c r="O20" i="62"/>
  <c r="O21" i="62" s="1"/>
  <c r="J17" i="56"/>
  <c r="K46" i="60"/>
  <c r="J17" i="72"/>
  <c r="K20" i="62"/>
  <c r="K21" i="62" s="1"/>
  <c r="F17" i="56"/>
  <c r="G46" i="60"/>
  <c r="G20" i="62"/>
  <c r="G21" i="62" s="1"/>
  <c r="F17" i="72"/>
  <c r="V17" i="54"/>
  <c r="V34" i="54"/>
  <c r="R17" i="54"/>
  <c r="R34" i="54"/>
  <c r="N17" i="54"/>
  <c r="N34" i="54"/>
  <c r="J17" i="54"/>
  <c r="J34" i="54"/>
  <c r="F17" i="54"/>
  <c r="F34" i="54"/>
  <c r="U42" i="60"/>
  <c r="U14" i="62"/>
  <c r="T16" i="56"/>
  <c r="T16" i="72"/>
  <c r="P16" i="56"/>
  <c r="P16" i="72"/>
  <c r="Q14" i="62"/>
  <c r="Q42" i="60"/>
  <c r="M14" i="62"/>
  <c r="M42" i="60"/>
  <c r="L16" i="56"/>
  <c r="L16" i="72"/>
  <c r="I42" i="60"/>
  <c r="I14" i="62"/>
  <c r="H16" i="72"/>
  <c r="H16" i="56"/>
  <c r="V58" i="60"/>
  <c r="U19" i="72"/>
  <c r="U19" i="56"/>
  <c r="V38" i="62"/>
  <c r="V39" i="62" s="1"/>
  <c r="R58" i="60"/>
  <c r="Q19" i="72"/>
  <c r="Q19" i="56"/>
  <c r="R38" i="62"/>
  <c r="R39" i="62" s="1"/>
  <c r="N58" i="60"/>
  <c r="M19" i="72"/>
  <c r="M19" i="56"/>
  <c r="N38" i="62"/>
  <c r="N39" i="62" s="1"/>
  <c r="J58" i="60"/>
  <c r="I19" i="56"/>
  <c r="I19" i="72"/>
  <c r="J38" i="62"/>
  <c r="J39" i="62" s="1"/>
  <c r="F58" i="60"/>
  <c r="E19" i="72"/>
  <c r="F38" i="62"/>
  <c r="F39" i="62" s="1"/>
  <c r="E19" i="56"/>
  <c r="T50" i="60"/>
  <c r="S18" i="56"/>
  <c r="S18" i="72"/>
  <c r="T26" i="62"/>
  <c r="T27" i="62" s="1"/>
  <c r="P50" i="60"/>
  <c r="O18" i="56"/>
  <c r="O18" i="72"/>
  <c r="P26" i="62"/>
  <c r="P27" i="62" s="1"/>
  <c r="L50" i="60"/>
  <c r="K18" i="72"/>
  <c r="K18" i="56"/>
  <c r="L26" i="62"/>
  <c r="L27" i="62" s="1"/>
  <c r="H50" i="60"/>
  <c r="G18" i="56"/>
  <c r="H26" i="62"/>
  <c r="H27" i="62" s="1"/>
  <c r="G18" i="72"/>
  <c r="U17" i="72"/>
  <c r="V46" i="60"/>
  <c r="V20" i="62"/>
  <c r="V21" i="62" s="1"/>
  <c r="U17" i="56"/>
  <c r="Q17" i="56"/>
  <c r="Q17" i="72"/>
  <c r="R46" i="60"/>
  <c r="R20" i="62"/>
  <c r="R21" i="62" s="1"/>
  <c r="M17" i="72"/>
  <c r="M17" i="56"/>
  <c r="N46" i="60"/>
  <c r="N20" i="62"/>
  <c r="N21" i="62" s="1"/>
  <c r="J46" i="60"/>
  <c r="I17" i="72"/>
  <c r="J20" i="62"/>
  <c r="J21" i="62" s="1"/>
  <c r="I17" i="56"/>
  <c r="F46" i="60"/>
  <c r="E17" i="72"/>
  <c r="E17" i="56"/>
  <c r="F20" i="62"/>
  <c r="F21" i="62" s="1"/>
  <c r="U17" i="54"/>
  <c r="U34" i="54"/>
  <c r="Q17" i="54"/>
  <c r="Q34" i="54"/>
  <c r="M17" i="54"/>
  <c r="M34" i="54"/>
  <c r="I17" i="54"/>
  <c r="I34" i="54"/>
  <c r="T42" i="60"/>
  <c r="S16" i="56"/>
  <c r="S16" i="72"/>
  <c r="T14" i="62"/>
  <c r="P42" i="60"/>
  <c r="P14" i="62"/>
  <c r="O16" i="56"/>
  <c r="O16" i="72"/>
  <c r="L42" i="60"/>
  <c r="K16" i="56"/>
  <c r="K16" i="72"/>
  <c r="L14" i="62"/>
  <c r="H42" i="60"/>
  <c r="G16" i="72"/>
  <c r="G16" i="56"/>
  <c r="H14" i="62"/>
  <c r="U58" i="60"/>
  <c r="T19" i="56"/>
  <c r="T19" i="72"/>
  <c r="U38" i="62"/>
  <c r="U39" i="62" s="1"/>
  <c r="Q38" i="62"/>
  <c r="Q39" i="62" s="1"/>
  <c r="Q58" i="60"/>
  <c r="P19" i="56"/>
  <c r="P19" i="72"/>
  <c r="M38" i="62"/>
  <c r="M39" i="62" s="1"/>
  <c r="L19" i="72"/>
  <c r="M58" i="60"/>
  <c r="L19" i="56"/>
  <c r="I38" i="62"/>
  <c r="I39" i="62" s="1"/>
  <c r="I58" i="60"/>
  <c r="H19" i="56"/>
  <c r="H19" i="72"/>
  <c r="R18" i="56"/>
  <c r="S50" i="60"/>
  <c r="S26" i="62"/>
  <c r="S27" i="62" s="1"/>
  <c r="R18" i="72"/>
  <c r="N18" i="56"/>
  <c r="N18" i="72"/>
  <c r="O26" i="62"/>
  <c r="O27" i="62" s="1"/>
  <c r="O50" i="60"/>
  <c r="K50" i="60"/>
  <c r="J18" i="56"/>
  <c r="J18" i="72"/>
  <c r="K26" i="62"/>
  <c r="K27" i="62" s="1"/>
  <c r="F18" i="56"/>
  <c r="G50" i="60"/>
  <c r="F18" i="72"/>
  <c r="G26" i="62"/>
  <c r="G27" i="62" s="1"/>
  <c r="U46" i="60"/>
  <c r="U20" i="62"/>
  <c r="U21" i="62" s="1"/>
  <c r="T17" i="56"/>
  <c r="T17" i="72"/>
  <c r="Q20" i="62"/>
  <c r="Q21" i="62" s="1"/>
  <c r="P17" i="56"/>
  <c r="Q46" i="60"/>
  <c r="P17" i="72"/>
  <c r="M46" i="60"/>
  <c r="L17" i="56"/>
  <c r="L17" i="72"/>
  <c r="M20" i="62"/>
  <c r="M21" i="62" s="1"/>
  <c r="I46" i="60"/>
  <c r="I20" i="62"/>
  <c r="I21" i="62" s="1"/>
  <c r="H17" i="72"/>
  <c r="H17" i="56"/>
  <c r="T17" i="54"/>
  <c r="T34" i="54"/>
  <c r="P17" i="54"/>
  <c r="P34" i="54"/>
  <c r="L17" i="54"/>
  <c r="L34" i="54"/>
  <c r="H17" i="54"/>
  <c r="H34" i="54"/>
  <c r="H60" i="54" a="1"/>
  <c r="N60" i="54"/>
  <c r="N69" i="54"/>
  <c r="N67" i="54"/>
  <c r="N62" i="54"/>
  <c r="N73" i="54"/>
  <c r="N61" i="54"/>
  <c r="N74" i="54"/>
  <c r="N78" i="54"/>
  <c r="N65" i="54"/>
  <c r="N71" i="54"/>
  <c r="N79" i="54"/>
  <c r="N77" i="54"/>
  <c r="N76" i="54"/>
  <c r="N70" i="54"/>
  <c r="N64" i="54"/>
  <c r="N66" i="54"/>
  <c r="N72" i="54"/>
  <c r="N80" i="54"/>
  <c r="N68" i="54"/>
  <c r="N63" i="54"/>
  <c r="N75" i="54"/>
  <c r="E17" i="54"/>
  <c r="E34" i="54"/>
  <c r="P31" i="84" l="1"/>
  <c r="P33" i="84" s="1"/>
  <c r="P24" i="84"/>
  <c r="N65" i="62"/>
  <c r="N66" i="62"/>
  <c r="N64" i="62"/>
  <c r="N73" i="62"/>
  <c r="N59" i="62"/>
  <c r="N58" i="62"/>
  <c r="N68" i="62"/>
  <c r="N56" i="62"/>
  <c r="N54" i="62"/>
  <c r="N60" i="62"/>
  <c r="N55" i="62"/>
  <c r="N72" i="62"/>
  <c r="N67" i="62"/>
  <c r="N70" i="62"/>
  <c r="N57" i="62"/>
  <c r="N62" i="62"/>
  <c r="N53" i="62"/>
  <c r="N61" i="62"/>
  <c r="N71" i="62"/>
  <c r="N69" i="62"/>
  <c r="O53" i="62" a="1"/>
  <c r="O53" i="62" s="1"/>
  <c r="G93" i="54"/>
  <c r="K38" i="52" s="1"/>
  <c r="G95" i="54"/>
  <c r="K40" i="52" s="1"/>
  <c r="G103" i="54"/>
  <c r="K48" i="52" s="1"/>
  <c r="G111" i="54"/>
  <c r="K56" i="52" s="1"/>
  <c r="G96" i="54"/>
  <c r="K41" i="52" s="1"/>
  <c r="G104" i="54"/>
  <c r="K49" i="52" s="1"/>
  <c r="G112" i="54"/>
  <c r="K57" i="52" s="1"/>
  <c r="G99" i="54"/>
  <c r="K44" i="52" s="1"/>
  <c r="G107" i="54"/>
  <c r="K52" i="52" s="1"/>
  <c r="G92" i="54"/>
  <c r="G100" i="54"/>
  <c r="K45" i="52" s="1"/>
  <c r="G108" i="54"/>
  <c r="K53" i="52" s="1"/>
  <c r="G110" i="54"/>
  <c r="K55" i="52" s="1"/>
  <c r="G94" i="54"/>
  <c r="K39" i="52" s="1"/>
  <c r="G97" i="54"/>
  <c r="K42" i="52" s="1"/>
  <c r="G106" i="54"/>
  <c r="K51" i="52" s="1"/>
  <c r="G109" i="54"/>
  <c r="K54" i="52" s="1"/>
  <c r="G102" i="54"/>
  <c r="K47" i="52" s="1"/>
  <c r="G105" i="54"/>
  <c r="K50" i="52" s="1"/>
  <c r="G98" i="54"/>
  <c r="K43" i="52" s="1"/>
  <c r="G101" i="54"/>
  <c r="K46" i="52" s="1"/>
  <c r="M53" i="62" a="1"/>
  <c r="M70" i="62" s="1"/>
  <c r="M63" i="54"/>
  <c r="M65" i="54"/>
  <c r="M73" i="54"/>
  <c r="M66" i="54"/>
  <c r="M74" i="54"/>
  <c r="M80" i="54"/>
  <c r="M61" i="54"/>
  <c r="M69" i="54"/>
  <c r="M77" i="54"/>
  <c r="M62" i="54"/>
  <c r="M70" i="54"/>
  <c r="M78" i="54"/>
  <c r="M72" i="54"/>
  <c r="M79" i="54"/>
  <c r="M64" i="54"/>
  <c r="M76" i="54"/>
  <c r="M67" i="54"/>
  <c r="M68" i="54"/>
  <c r="M75" i="54"/>
  <c r="M71" i="54"/>
  <c r="M60" i="54"/>
  <c r="E32" i="62"/>
  <c r="E43" i="62" s="1"/>
  <c r="E15" i="62"/>
  <c r="H54" i="60"/>
  <c r="L54" i="60"/>
  <c r="P54" i="60"/>
  <c r="T54" i="60"/>
  <c r="G54" i="60"/>
  <c r="P15" i="62"/>
  <c r="P32" i="62"/>
  <c r="U35" i="54"/>
  <c r="U51" i="54" s="1"/>
  <c r="U50" i="54"/>
  <c r="J50" i="54"/>
  <c r="J35" i="54"/>
  <c r="J51" i="54" s="1"/>
  <c r="J15" i="62"/>
  <c r="J32" i="62"/>
  <c r="R15" i="62"/>
  <c r="R32" i="62"/>
  <c r="G35" i="54"/>
  <c r="G51" i="54" s="1"/>
  <c r="G50" i="54"/>
  <c r="O15" i="62"/>
  <c r="O32" i="62"/>
  <c r="H53" i="62" a="1"/>
  <c r="H15" i="62"/>
  <c r="H32" i="62"/>
  <c r="L15" i="62"/>
  <c r="L32" i="62"/>
  <c r="T15" i="62"/>
  <c r="T32" i="62"/>
  <c r="I35" i="54"/>
  <c r="I51" i="54" s="1"/>
  <c r="I50" i="54"/>
  <c r="Q35" i="54"/>
  <c r="Q51" i="54" s="1"/>
  <c r="Q50" i="54"/>
  <c r="Q54" i="60"/>
  <c r="F50" i="54"/>
  <c r="F35" i="54"/>
  <c r="F51" i="54" s="1"/>
  <c r="N50" i="54"/>
  <c r="N35" i="54"/>
  <c r="N51" i="54" s="1"/>
  <c r="V50" i="54"/>
  <c r="V35" i="54"/>
  <c r="V51" i="54" s="1"/>
  <c r="J54" i="60"/>
  <c r="K50" i="54"/>
  <c r="K35" i="54"/>
  <c r="K51" i="54" s="1"/>
  <c r="S50" i="54"/>
  <c r="S35" i="54"/>
  <c r="S51" i="54" s="1"/>
  <c r="K54" i="60"/>
  <c r="O54" i="60"/>
  <c r="H60" i="54"/>
  <c r="H71" i="54"/>
  <c r="H67" i="54"/>
  <c r="H63" i="54"/>
  <c r="H75" i="54"/>
  <c r="H79" i="54"/>
  <c r="H78" i="54"/>
  <c r="H62" i="54"/>
  <c r="H65" i="54"/>
  <c r="H72" i="54"/>
  <c r="H74" i="54"/>
  <c r="H77" i="54"/>
  <c r="H61" i="54"/>
  <c r="H68" i="54"/>
  <c r="H70" i="54"/>
  <c r="H73" i="54"/>
  <c r="H80" i="54"/>
  <c r="H64" i="54"/>
  <c r="H66" i="54"/>
  <c r="H69" i="54"/>
  <c r="H76" i="54"/>
  <c r="M35" i="54"/>
  <c r="M51" i="54" s="1"/>
  <c r="M50" i="54"/>
  <c r="I15" i="62"/>
  <c r="I32" i="62"/>
  <c r="M54" i="60"/>
  <c r="U15" i="62"/>
  <c r="U32" i="62"/>
  <c r="R35" i="54"/>
  <c r="R51" i="54" s="1"/>
  <c r="R50" i="54"/>
  <c r="F15" i="62"/>
  <c r="F32" i="62"/>
  <c r="N15" i="62"/>
  <c r="N32" i="62"/>
  <c r="V15" i="62"/>
  <c r="V32" i="62"/>
  <c r="O50" i="54"/>
  <c r="O35" i="54"/>
  <c r="O51" i="54" s="1"/>
  <c r="G15" i="62"/>
  <c r="G32" i="62"/>
  <c r="S15" i="62"/>
  <c r="S32" i="62"/>
  <c r="H50" i="54"/>
  <c r="H35" i="54"/>
  <c r="H51" i="54" s="1"/>
  <c r="P50" i="54"/>
  <c r="P35" i="54"/>
  <c r="P51" i="54" s="1"/>
  <c r="I54" i="60"/>
  <c r="M15" i="62"/>
  <c r="M32" i="62"/>
  <c r="U54" i="60"/>
  <c r="F54" i="60"/>
  <c r="V54" i="60"/>
  <c r="K15" i="62"/>
  <c r="K32" i="62"/>
  <c r="L35" i="54"/>
  <c r="L51" i="54" s="1"/>
  <c r="L50" i="54"/>
  <c r="T50" i="54"/>
  <c r="T35" i="54"/>
  <c r="T51" i="54" s="1"/>
  <c r="Q15" i="62"/>
  <c r="Q32" i="62"/>
  <c r="N54" i="60"/>
  <c r="R54" i="60"/>
  <c r="S54" i="60"/>
  <c r="N81" i="54"/>
  <c r="E35" i="54"/>
  <c r="E50" i="54"/>
  <c r="C18" i="76"/>
  <c r="D18" i="76"/>
  <c r="E18" i="76"/>
  <c r="F18" i="76"/>
  <c r="G18" i="76"/>
  <c r="H18" i="76"/>
  <c r="I18" i="76"/>
  <c r="J18" i="76"/>
  <c r="K18" i="76"/>
  <c r="L18" i="76"/>
  <c r="M18" i="76"/>
  <c r="N18" i="76"/>
  <c r="O18" i="76"/>
  <c r="P18" i="76"/>
  <c r="Q18" i="76"/>
  <c r="R18" i="76"/>
  <c r="S18" i="76"/>
  <c r="T18" i="76"/>
  <c r="C21" i="76"/>
  <c r="D21" i="76" s="1"/>
  <c r="E21" i="76" s="1"/>
  <c r="F21" i="76" s="1"/>
  <c r="G21" i="76" s="1"/>
  <c r="H21" i="76" s="1"/>
  <c r="I21" i="76" s="1"/>
  <c r="J21" i="76" s="1"/>
  <c r="K21" i="76" s="1"/>
  <c r="L21" i="76" s="1"/>
  <c r="M21" i="76" s="1"/>
  <c r="N21" i="76" s="1"/>
  <c r="O21" i="76" s="1"/>
  <c r="P21" i="76" s="1"/>
  <c r="Q21" i="76" s="1"/>
  <c r="R21" i="76" s="1"/>
  <c r="S21" i="76" s="1"/>
  <c r="T21" i="76" s="1"/>
  <c r="U21" i="76" s="1"/>
  <c r="V21" i="76" s="1"/>
  <c r="W21" i="76" s="1"/>
  <c r="C26" i="76"/>
  <c r="D26" i="76"/>
  <c r="E26" i="76"/>
  <c r="F26" i="76"/>
  <c r="G26" i="76"/>
  <c r="H26" i="76"/>
  <c r="I26" i="76"/>
  <c r="J26" i="76"/>
  <c r="K26" i="76"/>
  <c r="L26" i="76"/>
  <c r="M26" i="76"/>
  <c r="N26" i="76"/>
  <c r="O26" i="76"/>
  <c r="P26" i="76"/>
  <c r="Q26" i="76"/>
  <c r="R26" i="76"/>
  <c r="S26" i="76"/>
  <c r="T26" i="76"/>
  <c r="O64" i="62" l="1"/>
  <c r="P26" i="84"/>
  <c r="Q13" i="84"/>
  <c r="O56" i="62"/>
  <c r="O70" i="62"/>
  <c r="O68" i="62"/>
  <c r="O58" i="62"/>
  <c r="O65" i="62"/>
  <c r="M73" i="62"/>
  <c r="N74" i="62"/>
  <c r="O72" i="62"/>
  <c r="O73" i="62"/>
  <c r="O75" i="62" s="1"/>
  <c r="O76" i="62" s="1"/>
  <c r="M58" i="62"/>
  <c r="M68" i="62"/>
  <c r="O55" i="62"/>
  <c r="O57" i="62"/>
  <c r="O61" i="62"/>
  <c r="O62" i="62"/>
  <c r="O59" i="62"/>
  <c r="O69" i="62"/>
  <c r="O63" i="62"/>
  <c r="M53" i="62"/>
  <c r="M69" i="62"/>
  <c r="M64" i="62"/>
  <c r="M62" i="62"/>
  <c r="M67" i="62"/>
  <c r="M63" i="62"/>
  <c r="M56" i="62"/>
  <c r="M72" i="62"/>
  <c r="M55" i="62"/>
  <c r="M54" i="62"/>
  <c r="M66" i="62"/>
  <c r="M65" i="62"/>
  <c r="Z26" i="76"/>
  <c r="Z18" i="76"/>
  <c r="E33" i="62"/>
  <c r="M59" i="62"/>
  <c r="M61" i="62"/>
  <c r="M71" i="62"/>
  <c r="M60" i="62"/>
  <c r="M57" i="62"/>
  <c r="O66" i="62"/>
  <c r="O60" i="62"/>
  <c r="O71" i="62"/>
  <c r="O67" i="62"/>
  <c r="O54" i="62"/>
  <c r="G113" i="54"/>
  <c r="K37" i="52"/>
  <c r="K58" i="52" s="1"/>
  <c r="I33" i="62"/>
  <c r="I44" i="62" s="1"/>
  <c r="I43" i="62"/>
  <c r="T43" i="62"/>
  <c r="T33" i="62"/>
  <c r="T44" i="62" s="1"/>
  <c r="J43" i="62"/>
  <c r="J33" i="62"/>
  <c r="J44" i="62" s="1"/>
  <c r="P43" i="62"/>
  <c r="P33" i="62"/>
  <c r="P44" i="62" s="1"/>
  <c r="Q33" i="62"/>
  <c r="Q44" i="62" s="1"/>
  <c r="Q43" i="62"/>
  <c r="K43" i="62"/>
  <c r="K33" i="62"/>
  <c r="K44" i="62" s="1"/>
  <c r="V43" i="62"/>
  <c r="V33" i="62"/>
  <c r="V44" i="62" s="1"/>
  <c r="U33" i="62"/>
  <c r="U44" i="62" s="1"/>
  <c r="U43" i="62"/>
  <c r="H55" i="62"/>
  <c r="H59" i="62"/>
  <c r="H63" i="62"/>
  <c r="H67" i="62"/>
  <c r="H71" i="62"/>
  <c r="H56" i="62"/>
  <c r="H61" i="62"/>
  <c r="H66" i="62"/>
  <c r="H72" i="62"/>
  <c r="H57" i="62"/>
  <c r="H62" i="62"/>
  <c r="H68" i="62"/>
  <c r="H73" i="62"/>
  <c r="H53" i="62"/>
  <c r="H58" i="62"/>
  <c r="H64" i="62"/>
  <c r="H69" i="62"/>
  <c r="H54" i="62"/>
  <c r="H60" i="62"/>
  <c r="H65" i="62"/>
  <c r="H70" i="62"/>
  <c r="L43" i="62"/>
  <c r="L33" i="62"/>
  <c r="L44" i="62" s="1"/>
  <c r="O43" i="62"/>
  <c r="O33" i="62"/>
  <c r="O44" i="62" s="1"/>
  <c r="R43" i="62"/>
  <c r="R33" i="62"/>
  <c r="R44" i="62" s="1"/>
  <c r="H33" i="62"/>
  <c r="H44" i="62" s="1"/>
  <c r="H43" i="62"/>
  <c r="G60" i="54" a="1"/>
  <c r="G43" i="62"/>
  <c r="G33" i="62"/>
  <c r="G44" i="62" s="1"/>
  <c r="F43" i="62"/>
  <c r="F33" i="62"/>
  <c r="F44" i="62" s="1"/>
  <c r="M33" i="62"/>
  <c r="M44" i="62" s="1"/>
  <c r="M43" i="62"/>
  <c r="S33" i="62"/>
  <c r="S44" i="62" s="1"/>
  <c r="S43" i="62"/>
  <c r="N33" i="62"/>
  <c r="N44" i="62" s="1"/>
  <c r="N43" i="62"/>
  <c r="M81" i="54"/>
  <c r="D49" i="78"/>
  <c r="D20" i="78" s="1"/>
  <c r="D21" i="78" s="1"/>
  <c r="D22" i="78" s="1"/>
  <c r="D23" i="78" s="1"/>
  <c r="D24" i="78" s="1"/>
  <c r="D25" i="78" s="1"/>
  <c r="D26" i="78" s="1"/>
  <c r="D27" i="78" s="1"/>
  <c r="D28" i="78" s="1"/>
  <c r="D29" i="78" s="1"/>
  <c r="D30" i="78" s="1"/>
  <c r="D31" i="78" s="1"/>
  <c r="D32" i="78" s="1"/>
  <c r="D33" i="78" s="1"/>
  <c r="D34" i="78" s="1"/>
  <c r="D35" i="78" s="1"/>
  <c r="D36" i="78" s="1"/>
  <c r="D37" i="78" s="1"/>
  <c r="D38" i="78" s="1"/>
  <c r="D39" i="78" s="1"/>
  <c r="D40" i="78" s="1"/>
  <c r="D41" i="78" s="1"/>
  <c r="D42" i="78" s="1"/>
  <c r="D43" i="78" s="1"/>
  <c r="D44" i="78" s="1"/>
  <c r="D45" i="78" s="1"/>
  <c r="E49" i="78"/>
  <c r="E20" i="78" s="1"/>
  <c r="E21" i="78" s="1"/>
  <c r="E22" i="78" s="1"/>
  <c r="E23" i="78" s="1"/>
  <c r="E24" i="78" s="1"/>
  <c r="E25" i="78" s="1"/>
  <c r="E26" i="78" s="1"/>
  <c r="E27" i="78" s="1"/>
  <c r="E28" i="78" s="1"/>
  <c r="E29" i="78" s="1"/>
  <c r="E30" i="78" s="1"/>
  <c r="E31" i="78" s="1"/>
  <c r="E32" i="78" s="1"/>
  <c r="E33" i="78" s="1"/>
  <c r="E34" i="78" s="1"/>
  <c r="E35" i="78" s="1"/>
  <c r="E36" i="78" s="1"/>
  <c r="E37" i="78" s="1"/>
  <c r="E38" i="78" s="1"/>
  <c r="E39" i="78" s="1"/>
  <c r="E40" i="78" s="1"/>
  <c r="E41" i="78" s="1"/>
  <c r="E42" i="78" s="1"/>
  <c r="E43" i="78" s="1"/>
  <c r="E44" i="78" s="1"/>
  <c r="E45" i="78" s="1"/>
  <c r="E46" i="78" s="1"/>
  <c r="E47" i="78" s="1"/>
  <c r="F49" i="78"/>
  <c r="F20" i="78" s="1"/>
  <c r="F21" i="78" s="1"/>
  <c r="F22" i="78" s="1"/>
  <c r="F23" i="78" s="1"/>
  <c r="F24" i="78" s="1"/>
  <c r="F25" i="78" s="1"/>
  <c r="F26" i="78" s="1"/>
  <c r="F27" i="78" s="1"/>
  <c r="F28" i="78" s="1"/>
  <c r="F29" i="78" s="1"/>
  <c r="F30" i="78" s="1"/>
  <c r="F31" i="78" s="1"/>
  <c r="F32" i="78" s="1"/>
  <c r="F33" i="78" s="1"/>
  <c r="F34" i="78" s="1"/>
  <c r="F35" i="78" s="1"/>
  <c r="F36" i="78" s="1"/>
  <c r="F37" i="78" s="1"/>
  <c r="F38" i="78" s="1"/>
  <c r="F39" i="78" s="1"/>
  <c r="F40" i="78" s="1"/>
  <c r="F41" i="78" s="1"/>
  <c r="F42" i="78" s="1"/>
  <c r="F43" i="78" s="1"/>
  <c r="F44" i="78" s="1"/>
  <c r="F45" i="78" s="1"/>
  <c r="G49" i="78"/>
  <c r="G20" i="78" s="1"/>
  <c r="G21" i="78" s="1"/>
  <c r="G22" i="78" s="1"/>
  <c r="G23" i="78" s="1"/>
  <c r="G24" i="78" s="1"/>
  <c r="G25" i="78" s="1"/>
  <c r="G26" i="78" s="1"/>
  <c r="G27" i="78" s="1"/>
  <c r="G28" i="78" s="1"/>
  <c r="G29" i="78" s="1"/>
  <c r="G30" i="78" s="1"/>
  <c r="G31" i="78" s="1"/>
  <c r="G32" i="78" s="1"/>
  <c r="G33" i="78" s="1"/>
  <c r="G34" i="78" s="1"/>
  <c r="G35" i="78" s="1"/>
  <c r="G36" i="78" s="1"/>
  <c r="G37" i="78" s="1"/>
  <c r="G38" i="78" s="1"/>
  <c r="G39" i="78" s="1"/>
  <c r="G40" i="78" s="1"/>
  <c r="G41" i="78" s="1"/>
  <c r="G42" i="78" s="1"/>
  <c r="G43" i="78" s="1"/>
  <c r="G44" i="78" s="1"/>
  <c r="G45" i="78" s="1"/>
  <c r="H49" i="78"/>
  <c r="C49" i="78"/>
  <c r="C20" i="78" s="1"/>
  <c r="C21" i="78" s="1"/>
  <c r="Q31" i="84" l="1"/>
  <c r="Q33" i="84" s="1"/>
  <c r="Q24" i="84"/>
  <c r="D46" i="78"/>
  <c r="G46" i="78"/>
  <c r="F46" i="78"/>
  <c r="C22" i="78"/>
  <c r="C23" i="78" s="1"/>
  <c r="C24" i="78" s="1"/>
  <c r="J21" i="78"/>
  <c r="J22" i="78" s="1"/>
  <c r="J23" i="78" s="1"/>
  <c r="J24" i="78" s="1"/>
  <c r="J25" i="78" s="1"/>
  <c r="J26" i="78" s="1"/>
  <c r="J27" i="78" s="1"/>
  <c r="I21" i="78"/>
  <c r="I22" i="78" s="1"/>
  <c r="I23" i="78" s="1"/>
  <c r="I24" i="78" s="1"/>
  <c r="I25" i="78" s="1"/>
  <c r="I26" i="78" s="1"/>
  <c r="I27" i="78" s="1"/>
  <c r="H20" i="78"/>
  <c r="H21" i="78" s="1"/>
  <c r="H22" i="78" s="1"/>
  <c r="H23" i="78" s="1"/>
  <c r="H24" i="78" s="1"/>
  <c r="H25" i="78" s="1"/>
  <c r="H26" i="78" s="1"/>
  <c r="H27" i="78" s="1"/>
  <c r="H28" i="78" s="1"/>
  <c r="H29" i="78" s="1"/>
  <c r="H30" i="78" s="1"/>
  <c r="H31" i="78" s="1"/>
  <c r="H32" i="78" s="1"/>
  <c r="H33" i="78" s="1"/>
  <c r="H34" i="78" s="1"/>
  <c r="H35" i="78" s="1"/>
  <c r="H36" i="78" s="1"/>
  <c r="H37" i="78" s="1"/>
  <c r="H38" i="78" s="1"/>
  <c r="H39" i="78" s="1"/>
  <c r="H40" i="78" s="1"/>
  <c r="H41" i="78" s="1"/>
  <c r="H42" i="78" s="1"/>
  <c r="H43" i="78" s="1"/>
  <c r="H44" i="78" s="1"/>
  <c r="H45" i="78" s="1"/>
  <c r="H46" i="78" s="1"/>
  <c r="H47" i="78" s="1"/>
  <c r="M74" i="62"/>
  <c r="O74" i="62"/>
  <c r="G60" i="54"/>
  <c r="G64" i="54"/>
  <c r="G68" i="54"/>
  <c r="G72" i="54"/>
  <c r="G76" i="54"/>
  <c r="G80" i="54"/>
  <c r="G61" i="54"/>
  <c r="G66" i="54"/>
  <c r="G71" i="54"/>
  <c r="G77" i="54"/>
  <c r="G62" i="54"/>
  <c r="G69" i="54"/>
  <c r="G75" i="54"/>
  <c r="G63" i="54"/>
  <c r="G70" i="54"/>
  <c r="G78" i="54"/>
  <c r="G65" i="54"/>
  <c r="G73" i="54"/>
  <c r="G79" i="54"/>
  <c r="G67" i="54"/>
  <c r="G74" i="54"/>
  <c r="G53" i="62" a="1"/>
  <c r="K20" i="78"/>
  <c r="Q26" i="84" l="1"/>
  <c r="R13" i="84"/>
  <c r="K22" i="78"/>
  <c r="K21" i="78"/>
  <c r="N45" i="78"/>
  <c r="G47" i="78"/>
  <c r="N47" i="78" s="1"/>
  <c r="N46" i="78"/>
  <c r="K23" i="78"/>
  <c r="I28" i="78"/>
  <c r="I29" i="78" s="1"/>
  <c r="I30" i="78" s="1"/>
  <c r="I31" i="78" s="1"/>
  <c r="I32" i="78" s="1"/>
  <c r="I33" i="78" s="1"/>
  <c r="I34" i="78" s="1"/>
  <c r="I35" i="78" s="1"/>
  <c r="I36" i="78" s="1"/>
  <c r="I37" i="78" s="1"/>
  <c r="I38" i="78" s="1"/>
  <c r="I39" i="78" s="1"/>
  <c r="I40" i="78" s="1"/>
  <c r="I41" i="78" s="1"/>
  <c r="I42" i="78" s="1"/>
  <c r="I43" i="78" s="1"/>
  <c r="I44" i="78" s="1"/>
  <c r="I45" i="78" s="1"/>
  <c r="I46" i="78" s="1"/>
  <c r="I47" i="78" s="1"/>
  <c r="B53" i="78" a="1"/>
  <c r="M45" i="78"/>
  <c r="L45" i="78"/>
  <c r="J28" i="78"/>
  <c r="J29" i="78" s="1"/>
  <c r="J30" i="78" s="1"/>
  <c r="J31" i="78" s="1"/>
  <c r="J32" i="78" s="1"/>
  <c r="J33" i="78" s="1"/>
  <c r="J34" i="78" s="1"/>
  <c r="J35" i="78" s="1"/>
  <c r="J36" i="78" s="1"/>
  <c r="J37" i="78" s="1"/>
  <c r="J38" i="78" s="1"/>
  <c r="J39" i="78" s="1"/>
  <c r="J40" i="78" s="1"/>
  <c r="J41" i="78" s="1"/>
  <c r="J42" i="78" s="1"/>
  <c r="J43" i="78" s="1"/>
  <c r="J44" i="78" s="1"/>
  <c r="J45" i="78" s="1"/>
  <c r="J46" i="78" s="1"/>
  <c r="J47" i="78" s="1"/>
  <c r="B54" i="78" a="1"/>
  <c r="F47" i="78"/>
  <c r="M47" i="78" s="1"/>
  <c r="M46" i="78"/>
  <c r="D47" i="78"/>
  <c r="L47" i="78" s="1"/>
  <c r="L46" i="78"/>
  <c r="G53" i="62"/>
  <c r="G54" i="62"/>
  <c r="G59" i="62"/>
  <c r="G64" i="62"/>
  <c r="G70" i="62"/>
  <c r="G56" i="62"/>
  <c r="G63" i="62"/>
  <c r="G71" i="62"/>
  <c r="G58" i="62"/>
  <c r="G66" i="62"/>
  <c r="G72" i="62"/>
  <c r="G60" i="62"/>
  <c r="G67" i="62"/>
  <c r="G55" i="62"/>
  <c r="G62" i="62"/>
  <c r="G68" i="62"/>
  <c r="G69" i="62"/>
  <c r="G65" i="62"/>
  <c r="G61" i="62"/>
  <c r="G73" i="62"/>
  <c r="G57" i="62"/>
  <c r="C25" i="78"/>
  <c r="K24" i="78"/>
  <c r="R31" i="84" l="1"/>
  <c r="R33" i="84" s="1"/>
  <c r="R24" i="84"/>
  <c r="B53" i="78"/>
  <c r="E19" i="77" s="1"/>
  <c r="M53" i="78"/>
  <c r="P19" i="77" s="1"/>
  <c r="P20" i="77" s="1"/>
  <c r="P23" i="77" s="1"/>
  <c r="Q53" i="78"/>
  <c r="T19" i="77" s="1"/>
  <c r="T20" i="77" s="1"/>
  <c r="T23" i="77" s="1"/>
  <c r="E53" i="78"/>
  <c r="H19" i="77" s="1"/>
  <c r="H20" i="77" s="1"/>
  <c r="H23" i="77" s="1"/>
  <c r="U53" i="78"/>
  <c r="X19" i="77" s="1"/>
  <c r="X20" i="77" s="1"/>
  <c r="X23" i="77" s="1"/>
  <c r="I53" i="78"/>
  <c r="L19" i="77" s="1"/>
  <c r="L20" i="77" s="1"/>
  <c r="L23" i="77" s="1"/>
  <c r="H53" i="78"/>
  <c r="K19" i="77" s="1"/>
  <c r="K20" i="77" s="1"/>
  <c r="K23" i="77" s="1"/>
  <c r="K53" i="78"/>
  <c r="N19" i="77" s="1"/>
  <c r="N20" i="77" s="1"/>
  <c r="N23" i="77" s="1"/>
  <c r="R53" i="78"/>
  <c r="U19" i="77" s="1"/>
  <c r="U20" i="77" s="1"/>
  <c r="U23" i="77" s="1"/>
  <c r="T53" i="78"/>
  <c r="W19" i="77" s="1"/>
  <c r="W20" i="77" s="1"/>
  <c r="W23" i="77" s="1"/>
  <c r="D53" i="78"/>
  <c r="G19" i="77" s="1"/>
  <c r="G20" i="77" s="1"/>
  <c r="G23" i="77" s="1"/>
  <c r="G53" i="78"/>
  <c r="J19" i="77" s="1"/>
  <c r="J20" i="77" s="1"/>
  <c r="J23" i="77" s="1"/>
  <c r="N53" i="78"/>
  <c r="Q19" i="77" s="1"/>
  <c r="Q20" i="77" s="1"/>
  <c r="Q23" i="77" s="1"/>
  <c r="P53" i="78"/>
  <c r="S19" i="77" s="1"/>
  <c r="S20" i="77" s="1"/>
  <c r="S23" i="77" s="1"/>
  <c r="S53" i="78"/>
  <c r="V19" i="77" s="1"/>
  <c r="V20" i="77" s="1"/>
  <c r="V23" i="77" s="1"/>
  <c r="C53" i="78"/>
  <c r="F19" i="77" s="1"/>
  <c r="F20" i="77" s="1"/>
  <c r="F23" i="77" s="1"/>
  <c r="J53" i="78"/>
  <c r="M19" i="77" s="1"/>
  <c r="M20" i="77" s="1"/>
  <c r="M23" i="77" s="1"/>
  <c r="L53" i="78"/>
  <c r="O19" i="77" s="1"/>
  <c r="O20" i="77" s="1"/>
  <c r="O23" i="77" s="1"/>
  <c r="O53" i="78"/>
  <c r="R19" i="77" s="1"/>
  <c r="R20" i="77" s="1"/>
  <c r="R23" i="77" s="1"/>
  <c r="V53" i="78"/>
  <c r="Y19" i="77" s="1"/>
  <c r="Y20" i="77" s="1"/>
  <c r="Y23" i="77" s="1"/>
  <c r="F53" i="78"/>
  <c r="I19" i="77" s="1"/>
  <c r="I20" i="77" s="1"/>
  <c r="I23" i="77" s="1"/>
  <c r="E54" i="78"/>
  <c r="I54" i="78"/>
  <c r="M54" i="78"/>
  <c r="Q54" i="78"/>
  <c r="U54" i="78"/>
  <c r="C54" i="78"/>
  <c r="G54" i="78"/>
  <c r="K54" i="78"/>
  <c r="O54" i="78"/>
  <c r="S54" i="78"/>
  <c r="D54" i="78"/>
  <c r="H54" i="78"/>
  <c r="L54" i="78"/>
  <c r="P54" i="78"/>
  <c r="T54" i="78"/>
  <c r="B54" i="78"/>
  <c r="F54" i="78"/>
  <c r="J54" i="78"/>
  <c r="N54" i="78"/>
  <c r="R54" i="78"/>
  <c r="V54" i="78"/>
  <c r="C26" i="78"/>
  <c r="K25" i="78"/>
  <c r="R26" i="84" l="1"/>
  <c r="S13" i="84"/>
  <c r="W29" i="77"/>
  <c r="W35" i="77" s="1"/>
  <c r="Y29" i="77"/>
  <c r="Y35" i="77" s="1"/>
  <c r="X29" i="77"/>
  <c r="X35" i="77" s="1"/>
  <c r="E20" i="77"/>
  <c r="E23" i="77" s="1"/>
  <c r="M47" i="77" s="1" a="1"/>
  <c r="C27" i="78"/>
  <c r="K26" i="78"/>
  <c r="S31" i="84" l="1"/>
  <c r="S33" i="84" s="1"/>
  <c r="S24" i="84"/>
  <c r="X36" i="77"/>
  <c r="M48" i="77"/>
  <c r="M47" i="77"/>
  <c r="M55" i="77"/>
  <c r="M58" i="77"/>
  <c r="M61" i="77"/>
  <c r="M64" i="77"/>
  <c r="M67" i="77"/>
  <c r="M51" i="77"/>
  <c r="M54" i="77"/>
  <c r="M57" i="77"/>
  <c r="M60" i="77"/>
  <c r="M63" i="77"/>
  <c r="M66" i="77"/>
  <c r="M50" i="77"/>
  <c r="M53" i="77"/>
  <c r="M56" i="77"/>
  <c r="M59" i="77"/>
  <c r="M62" i="77"/>
  <c r="M65" i="77"/>
  <c r="M49" i="77"/>
  <c r="M52" i="77"/>
  <c r="W37" i="77"/>
  <c r="W36" i="77"/>
  <c r="X37" i="77"/>
  <c r="Y37" i="77"/>
  <c r="Y36" i="77"/>
  <c r="C28" i="78"/>
  <c r="K27" i="78"/>
  <c r="S26" i="84" l="1"/>
  <c r="T13" i="84"/>
  <c r="X39" i="77"/>
  <c r="Y39" i="77"/>
  <c r="W39" i="77"/>
  <c r="C29" i="78"/>
  <c r="K28" i="78"/>
  <c r="B96" i="74"/>
  <c r="B95" i="74"/>
  <c r="B94" i="74"/>
  <c r="B93" i="74"/>
  <c r="B88" i="74"/>
  <c r="B87" i="74"/>
  <c r="B86" i="74"/>
  <c r="B85" i="74"/>
  <c r="T31" i="84" l="1"/>
  <c r="T33" i="84" s="1"/>
  <c r="T24" i="84"/>
  <c r="C30" i="78"/>
  <c r="K29" i="78"/>
  <c r="T26" i="84" l="1"/>
  <c r="U13" i="84"/>
  <c r="C31" i="78"/>
  <c r="K30" i="78"/>
  <c r="U31" i="84" l="1"/>
  <c r="U33" i="84" s="1"/>
  <c r="U24" i="84"/>
  <c r="C32" i="78"/>
  <c r="K31" i="78"/>
  <c r="L5" i="78"/>
  <c r="M5" i="78"/>
  <c r="N5" i="78"/>
  <c r="L6" i="78"/>
  <c r="M6" i="78"/>
  <c r="N6" i="78"/>
  <c r="L7" i="78"/>
  <c r="M7" i="78"/>
  <c r="N7" i="78"/>
  <c r="L8" i="78"/>
  <c r="M8" i="78"/>
  <c r="N8" i="78"/>
  <c r="L9" i="78"/>
  <c r="M9" i="78"/>
  <c r="N9" i="78"/>
  <c r="L10" i="78"/>
  <c r="M10" i="78"/>
  <c r="N10" i="78"/>
  <c r="L11" i="78"/>
  <c r="M11" i="78"/>
  <c r="N11" i="78"/>
  <c r="L12" i="78"/>
  <c r="M12" i="78"/>
  <c r="N12" i="78"/>
  <c r="L13" i="78"/>
  <c r="M13" i="78"/>
  <c r="N13" i="78"/>
  <c r="L14" i="78"/>
  <c r="M14" i="78"/>
  <c r="N14" i="78"/>
  <c r="L15" i="78"/>
  <c r="M15" i="78"/>
  <c r="N15" i="78"/>
  <c r="L16" i="78"/>
  <c r="M16" i="78"/>
  <c r="N16" i="78"/>
  <c r="L17" i="78"/>
  <c r="M17" i="78"/>
  <c r="N17" i="78"/>
  <c r="L18" i="78"/>
  <c r="M18" i="78"/>
  <c r="N18" i="78"/>
  <c r="L19" i="78"/>
  <c r="M19" i="78"/>
  <c r="N19" i="78"/>
  <c r="L20" i="78"/>
  <c r="M20" i="78"/>
  <c r="N20" i="78"/>
  <c r="L21" i="78"/>
  <c r="M21" i="78"/>
  <c r="N21" i="78"/>
  <c r="L22" i="78"/>
  <c r="M22" i="78"/>
  <c r="N22" i="78"/>
  <c r="L23" i="78"/>
  <c r="M23" i="78"/>
  <c r="N23" i="78"/>
  <c r="L24" i="78"/>
  <c r="M24" i="78"/>
  <c r="N24" i="78"/>
  <c r="L25" i="78"/>
  <c r="M25" i="78"/>
  <c r="N25" i="78"/>
  <c r="L26" i="78"/>
  <c r="M26" i="78"/>
  <c r="N26" i="78"/>
  <c r="L27" i="78"/>
  <c r="M27" i="78"/>
  <c r="N27" i="78"/>
  <c r="L28" i="78"/>
  <c r="M28" i="78"/>
  <c r="N28" i="78"/>
  <c r="L29" i="78"/>
  <c r="M29" i="78"/>
  <c r="N29" i="78"/>
  <c r="L30" i="78"/>
  <c r="M30" i="78"/>
  <c r="N30" i="78"/>
  <c r="L31" i="78"/>
  <c r="M31" i="78"/>
  <c r="N31" i="78"/>
  <c r="L32" i="78"/>
  <c r="M32" i="78"/>
  <c r="N32" i="78"/>
  <c r="L33" i="78"/>
  <c r="M33" i="78"/>
  <c r="N33" i="78"/>
  <c r="L34" i="78"/>
  <c r="M34" i="78"/>
  <c r="N34" i="78"/>
  <c r="L35" i="78"/>
  <c r="M35" i="78"/>
  <c r="N35" i="78"/>
  <c r="L36" i="78"/>
  <c r="M36" i="78"/>
  <c r="N36" i="78"/>
  <c r="L37" i="78"/>
  <c r="M37" i="78"/>
  <c r="N37" i="78"/>
  <c r="L38" i="78"/>
  <c r="M38" i="78"/>
  <c r="N38" i="78"/>
  <c r="L39" i="78"/>
  <c r="M39" i="78"/>
  <c r="N39" i="78"/>
  <c r="L40" i="78"/>
  <c r="M40" i="78"/>
  <c r="N40" i="78"/>
  <c r="L41" i="78"/>
  <c r="M41" i="78"/>
  <c r="N41" i="78"/>
  <c r="L42" i="78"/>
  <c r="M42" i="78"/>
  <c r="N42" i="78"/>
  <c r="L43" i="78"/>
  <c r="M43" i="78"/>
  <c r="N43" i="78"/>
  <c r="L44" i="78"/>
  <c r="M44" i="78"/>
  <c r="N44" i="78"/>
  <c r="N4" i="78"/>
  <c r="M4" i="78"/>
  <c r="L4" i="78"/>
  <c r="U26" i="84" l="1"/>
  <c r="V13" i="84"/>
  <c r="C33" i="78"/>
  <c r="K32" i="78"/>
  <c r="H10" i="49"/>
  <c r="I10" i="49"/>
  <c r="H11" i="49"/>
  <c r="I11" i="49"/>
  <c r="G11" i="49"/>
  <c r="H5" i="49"/>
  <c r="I5" i="49"/>
  <c r="H6" i="49"/>
  <c r="I6" i="49"/>
  <c r="H7" i="49"/>
  <c r="I7" i="49"/>
  <c r="H8" i="49"/>
  <c r="I8" i="49"/>
  <c r="H9" i="49"/>
  <c r="I9" i="49"/>
  <c r="G6" i="49"/>
  <c r="G7" i="49"/>
  <c r="G8" i="49"/>
  <c r="G9" i="49"/>
  <c r="G10" i="49"/>
  <c r="G5" i="49"/>
  <c r="E7" i="70"/>
  <c r="D27" i="49"/>
  <c r="D21" i="49"/>
  <c r="D22" i="49"/>
  <c r="D23" i="49"/>
  <c r="D24" i="49"/>
  <c r="D25" i="49"/>
  <c r="D26" i="49"/>
  <c r="D20" i="49"/>
  <c r="E25" i="2"/>
  <c r="E26" i="2"/>
  <c r="E24" i="2"/>
  <c r="V31" i="84" l="1"/>
  <c r="V33" i="84" s="1"/>
  <c r="V24" i="84"/>
  <c r="C34" i="78"/>
  <c r="K33" i="78"/>
  <c r="H77" i="74"/>
  <c r="G14" i="70" s="1"/>
  <c r="I77" i="74"/>
  <c r="H14" i="70" s="1"/>
  <c r="L77" i="74"/>
  <c r="K14" i="70" s="1"/>
  <c r="M77" i="74"/>
  <c r="L14" i="70" s="1"/>
  <c r="P77" i="74"/>
  <c r="O14" i="70" s="1"/>
  <c r="Q77" i="74"/>
  <c r="P14" i="70" s="1"/>
  <c r="T77" i="74"/>
  <c r="S14" i="70" s="1"/>
  <c r="U77" i="74"/>
  <c r="T14" i="70" s="1"/>
  <c r="G78" i="74"/>
  <c r="F21" i="70" s="1"/>
  <c r="H78" i="74"/>
  <c r="G21" i="70" s="1"/>
  <c r="K78" i="74"/>
  <c r="J21" i="70" s="1"/>
  <c r="L78" i="74"/>
  <c r="K21" i="70" s="1"/>
  <c r="O78" i="74"/>
  <c r="N21" i="70" s="1"/>
  <c r="P78" i="74"/>
  <c r="O21" i="70" s="1"/>
  <c r="S78" i="74"/>
  <c r="R21" i="70" s="1"/>
  <c r="T78" i="74"/>
  <c r="S21" i="70" s="1"/>
  <c r="W78" i="74"/>
  <c r="V21" i="70" s="1"/>
  <c r="G79" i="74"/>
  <c r="F28" i="70" s="1"/>
  <c r="J79" i="74"/>
  <c r="I28" i="70" s="1"/>
  <c r="K79" i="74"/>
  <c r="J28" i="70" s="1"/>
  <c r="N79" i="74"/>
  <c r="M28" i="70" s="1"/>
  <c r="O79" i="74"/>
  <c r="N28" i="70" s="1"/>
  <c r="R79" i="74"/>
  <c r="Q28" i="70" s="1"/>
  <c r="S79" i="74"/>
  <c r="R28" i="70" s="1"/>
  <c r="V79" i="74"/>
  <c r="U28" i="70" s="1"/>
  <c r="W79" i="74"/>
  <c r="V28" i="70" s="1"/>
  <c r="F79" i="74"/>
  <c r="F80" i="74"/>
  <c r="B78" i="74"/>
  <c r="B79" i="74"/>
  <c r="B80" i="74"/>
  <c r="B77" i="74"/>
  <c r="B72" i="74"/>
  <c r="B71" i="74"/>
  <c r="B70" i="74"/>
  <c r="B69" i="74"/>
  <c r="G93" i="74"/>
  <c r="F25" i="77" s="1"/>
  <c r="H93" i="74"/>
  <c r="G25" i="77" s="1"/>
  <c r="J93" i="74"/>
  <c r="I25" i="77" s="1"/>
  <c r="K93" i="74"/>
  <c r="J25" i="77" s="1"/>
  <c r="L93" i="74"/>
  <c r="K25" i="77" s="1"/>
  <c r="N93" i="74"/>
  <c r="M25" i="77" s="1"/>
  <c r="O93" i="74"/>
  <c r="N25" i="77" s="1"/>
  <c r="P93" i="74"/>
  <c r="O25" i="77" s="1"/>
  <c r="R93" i="74"/>
  <c r="Q25" i="77" s="1"/>
  <c r="S93" i="74"/>
  <c r="R25" i="77" s="1"/>
  <c r="T93" i="74"/>
  <c r="S25" i="77" s="1"/>
  <c r="V93" i="74"/>
  <c r="U25" i="77" s="1"/>
  <c r="W93" i="74"/>
  <c r="V25" i="77" s="1"/>
  <c r="G94" i="74"/>
  <c r="H94" i="74"/>
  <c r="I94" i="74"/>
  <c r="J94" i="74"/>
  <c r="K94" i="74"/>
  <c r="L94" i="74"/>
  <c r="M94" i="74"/>
  <c r="N94" i="74"/>
  <c r="O94" i="74"/>
  <c r="P94" i="74"/>
  <c r="Q94" i="74"/>
  <c r="R94" i="74"/>
  <c r="S94" i="74"/>
  <c r="T94" i="74"/>
  <c r="U94" i="74"/>
  <c r="V94" i="74"/>
  <c r="W94" i="74"/>
  <c r="G95" i="74"/>
  <c r="H95" i="74"/>
  <c r="I95" i="74"/>
  <c r="J95" i="74"/>
  <c r="K95" i="74"/>
  <c r="L95" i="74"/>
  <c r="M95" i="74"/>
  <c r="N95" i="74"/>
  <c r="O95" i="74"/>
  <c r="P95" i="74"/>
  <c r="Q95" i="74"/>
  <c r="R95" i="74"/>
  <c r="S95" i="74"/>
  <c r="T95" i="74"/>
  <c r="U95" i="74"/>
  <c r="V95" i="74"/>
  <c r="W95" i="74"/>
  <c r="G96" i="74"/>
  <c r="H96" i="74"/>
  <c r="I96" i="74"/>
  <c r="J96" i="74"/>
  <c r="K96" i="74"/>
  <c r="L96" i="74"/>
  <c r="M96" i="74"/>
  <c r="N96" i="74"/>
  <c r="O96" i="74"/>
  <c r="P96" i="74"/>
  <c r="Q96" i="74"/>
  <c r="R96" i="74"/>
  <c r="S96" i="74"/>
  <c r="T96" i="74"/>
  <c r="U96" i="74"/>
  <c r="V96" i="74"/>
  <c r="W96" i="74"/>
  <c r="F94" i="74"/>
  <c r="F95" i="74"/>
  <c r="F96" i="74"/>
  <c r="G85" i="74"/>
  <c r="F24" i="77" s="1"/>
  <c r="H85" i="74"/>
  <c r="G24" i="77" s="1"/>
  <c r="J85" i="74"/>
  <c r="I24" i="77" s="1"/>
  <c r="K85" i="74"/>
  <c r="J24" i="77" s="1"/>
  <c r="L85" i="74"/>
  <c r="K24" i="77" s="1"/>
  <c r="N85" i="74"/>
  <c r="M24" i="77" s="1"/>
  <c r="O85" i="74"/>
  <c r="N24" i="77" s="1"/>
  <c r="P85" i="74"/>
  <c r="O24" i="77" s="1"/>
  <c r="R85" i="74"/>
  <c r="Q24" i="77" s="1"/>
  <c r="S85" i="74"/>
  <c r="R24" i="77" s="1"/>
  <c r="T85" i="74"/>
  <c r="S24" i="77" s="1"/>
  <c r="V85" i="74"/>
  <c r="U24" i="77" s="1"/>
  <c r="W85" i="74"/>
  <c r="V24" i="77" s="1"/>
  <c r="G86" i="74"/>
  <c r="H86" i="74"/>
  <c r="I86" i="74"/>
  <c r="J86" i="74"/>
  <c r="K86" i="74"/>
  <c r="L86" i="74"/>
  <c r="M86" i="74"/>
  <c r="N86" i="74"/>
  <c r="O86" i="74"/>
  <c r="P86" i="74"/>
  <c r="Q86" i="74"/>
  <c r="R86" i="74"/>
  <c r="S86" i="74"/>
  <c r="T86" i="74"/>
  <c r="U86" i="74"/>
  <c r="V86" i="74"/>
  <c r="W86" i="74"/>
  <c r="G87" i="74"/>
  <c r="H87" i="74"/>
  <c r="I87" i="74"/>
  <c r="J87" i="74"/>
  <c r="K87" i="74"/>
  <c r="L87" i="74"/>
  <c r="M87" i="74"/>
  <c r="N87" i="74"/>
  <c r="O87" i="74"/>
  <c r="P87" i="74"/>
  <c r="Q87" i="74"/>
  <c r="R87" i="74"/>
  <c r="S87" i="74"/>
  <c r="T87" i="74"/>
  <c r="U87" i="74"/>
  <c r="V87" i="74"/>
  <c r="W87" i="74"/>
  <c r="G88" i="74"/>
  <c r="H88" i="74"/>
  <c r="I88" i="74"/>
  <c r="J88" i="74"/>
  <c r="K88" i="74"/>
  <c r="L88" i="74"/>
  <c r="M88" i="74"/>
  <c r="N88" i="74"/>
  <c r="O88" i="74"/>
  <c r="P88" i="74"/>
  <c r="Q88" i="74"/>
  <c r="R88" i="74"/>
  <c r="S88" i="74"/>
  <c r="T88" i="74"/>
  <c r="U88" i="74"/>
  <c r="V88" i="74"/>
  <c r="W88" i="74"/>
  <c r="F86" i="74"/>
  <c r="F87" i="74"/>
  <c r="F88" i="74"/>
  <c r="F85" i="74"/>
  <c r="E24" i="77" s="1"/>
  <c r="B62" i="74"/>
  <c r="B63" i="74"/>
  <c r="B64" i="74"/>
  <c r="B61" i="74"/>
  <c r="B21" i="74"/>
  <c r="B22" i="74"/>
  <c r="B23" i="74"/>
  <c r="B20" i="74"/>
  <c r="T78" i="76"/>
  <c r="S78" i="76"/>
  <c r="R78" i="76"/>
  <c r="Q78" i="76"/>
  <c r="P78" i="76"/>
  <c r="O78" i="76"/>
  <c r="N78" i="76"/>
  <c r="M78" i="76"/>
  <c r="L78" i="76"/>
  <c r="K78" i="76"/>
  <c r="J78" i="76"/>
  <c r="I78" i="76"/>
  <c r="H78" i="76"/>
  <c r="G78" i="76"/>
  <c r="F78" i="76"/>
  <c r="E78" i="76"/>
  <c r="D78" i="76"/>
  <c r="C78" i="76"/>
  <c r="T70" i="76"/>
  <c r="S70" i="76"/>
  <c r="R70" i="76"/>
  <c r="Q70" i="76"/>
  <c r="P70" i="76"/>
  <c r="O70" i="76"/>
  <c r="N70" i="76"/>
  <c r="M70" i="76"/>
  <c r="L70" i="76"/>
  <c r="K70" i="76"/>
  <c r="J70" i="76"/>
  <c r="I70" i="76"/>
  <c r="H70" i="76"/>
  <c r="G70" i="76"/>
  <c r="F70" i="76"/>
  <c r="E70" i="76"/>
  <c r="D70" i="76"/>
  <c r="C70" i="76"/>
  <c r="D62" i="76"/>
  <c r="E62" i="76"/>
  <c r="F62" i="76"/>
  <c r="G62" i="76"/>
  <c r="H62" i="76"/>
  <c r="I62" i="76"/>
  <c r="J62" i="76"/>
  <c r="K62" i="76"/>
  <c r="L62" i="76"/>
  <c r="M62" i="76"/>
  <c r="N62" i="76"/>
  <c r="O62" i="76"/>
  <c r="P62" i="76"/>
  <c r="Q62" i="76"/>
  <c r="R62" i="76"/>
  <c r="S62" i="76"/>
  <c r="T62" i="76"/>
  <c r="C62" i="76"/>
  <c r="V26" i="84" l="1"/>
  <c r="W13" i="84"/>
  <c r="R26" i="77"/>
  <c r="M26" i="77"/>
  <c r="G26" i="77"/>
  <c r="V26" i="77"/>
  <c r="V27" i="77" s="1"/>
  <c r="V29" i="77" s="1"/>
  <c r="V35" i="77" s="1"/>
  <c r="Q26" i="77"/>
  <c r="Q27" i="77" s="1"/>
  <c r="Q29" i="77" s="1"/>
  <c r="Q35" i="77" s="1"/>
  <c r="K26" i="77"/>
  <c r="K27" i="77" s="1"/>
  <c r="K29" i="77" s="1"/>
  <c r="K35" i="77" s="1"/>
  <c r="F26" i="77"/>
  <c r="F27" i="77" s="1"/>
  <c r="F29" i="77" s="1"/>
  <c r="F35" i="77" s="1"/>
  <c r="U26" i="77"/>
  <c r="U27" i="77" s="1"/>
  <c r="U29" i="77" s="1"/>
  <c r="U35" i="77" s="1"/>
  <c r="O26" i="77"/>
  <c r="O27" i="77" s="1"/>
  <c r="O29" i="77" s="1"/>
  <c r="O35" i="77" s="1"/>
  <c r="J26" i="77"/>
  <c r="J27" i="77" s="1"/>
  <c r="J29" i="77" s="1"/>
  <c r="J35" i="77" s="1"/>
  <c r="S26" i="77"/>
  <c r="S27" i="77" s="1"/>
  <c r="S29" i="77" s="1"/>
  <c r="S35" i="77" s="1"/>
  <c r="N26" i="77"/>
  <c r="N27" i="77" s="1"/>
  <c r="N29" i="77" s="1"/>
  <c r="N35" i="77" s="1"/>
  <c r="I26" i="77"/>
  <c r="I27" i="77" s="1"/>
  <c r="I29" i="77" s="1"/>
  <c r="I35" i="77" s="1"/>
  <c r="E28" i="70"/>
  <c r="E40" i="70"/>
  <c r="T80" i="74"/>
  <c r="S40" i="70" s="1"/>
  <c r="P80" i="74"/>
  <c r="O40" i="70" s="1"/>
  <c r="L80" i="74"/>
  <c r="K40" i="70" s="1"/>
  <c r="H80" i="74"/>
  <c r="G40" i="70" s="1"/>
  <c r="F77" i="74"/>
  <c r="F93" i="74"/>
  <c r="E25" i="77" s="1"/>
  <c r="E26" i="77" s="1"/>
  <c r="E27" i="77" s="1"/>
  <c r="E29" i="77" s="1"/>
  <c r="E35" i="77" s="1"/>
  <c r="W80" i="74"/>
  <c r="V40" i="70" s="1"/>
  <c r="S80" i="74"/>
  <c r="R40" i="70" s="1"/>
  <c r="O80" i="74"/>
  <c r="N40" i="70" s="1"/>
  <c r="K80" i="74"/>
  <c r="J40" i="70" s="1"/>
  <c r="G80" i="74"/>
  <c r="F40" i="70" s="1"/>
  <c r="U65" i="74"/>
  <c r="U93" i="74"/>
  <c r="T25" i="77" s="1"/>
  <c r="Q65" i="74"/>
  <c r="Q93" i="74"/>
  <c r="P25" i="77" s="1"/>
  <c r="M65" i="74"/>
  <c r="M93" i="74"/>
  <c r="L25" i="77" s="1"/>
  <c r="I65" i="74"/>
  <c r="I93" i="74"/>
  <c r="H25" i="77" s="1"/>
  <c r="U79" i="74"/>
  <c r="T28" i="70" s="1"/>
  <c r="Q79" i="74"/>
  <c r="P28" i="70" s="1"/>
  <c r="M79" i="74"/>
  <c r="L28" i="70" s="1"/>
  <c r="I79" i="74"/>
  <c r="H28" i="70" s="1"/>
  <c r="V78" i="74"/>
  <c r="U21" i="70" s="1"/>
  <c r="R78" i="74"/>
  <c r="Q21" i="70" s="1"/>
  <c r="N78" i="74"/>
  <c r="M21" i="70" s="1"/>
  <c r="J78" i="74"/>
  <c r="I21" i="70" s="1"/>
  <c r="W77" i="74"/>
  <c r="V14" i="70" s="1"/>
  <c r="S77" i="74"/>
  <c r="R14" i="70" s="1"/>
  <c r="O77" i="74"/>
  <c r="N14" i="70" s="1"/>
  <c r="K77" i="74"/>
  <c r="J14" i="70" s="1"/>
  <c r="G77" i="74"/>
  <c r="F14" i="70" s="1"/>
  <c r="V80" i="74"/>
  <c r="U40" i="70" s="1"/>
  <c r="R80" i="74"/>
  <c r="Q40" i="70" s="1"/>
  <c r="N80" i="74"/>
  <c r="M40" i="70" s="1"/>
  <c r="J80" i="74"/>
  <c r="I40" i="70" s="1"/>
  <c r="F78" i="74"/>
  <c r="T79" i="74"/>
  <c r="S28" i="70" s="1"/>
  <c r="P79" i="74"/>
  <c r="O28" i="70" s="1"/>
  <c r="L79" i="74"/>
  <c r="K28" i="70" s="1"/>
  <c r="H79" i="74"/>
  <c r="G28" i="70" s="1"/>
  <c r="U78" i="74"/>
  <c r="T21" i="70" s="1"/>
  <c r="Q78" i="74"/>
  <c r="P21" i="70" s="1"/>
  <c r="M78" i="74"/>
  <c r="L21" i="70" s="1"/>
  <c r="I78" i="74"/>
  <c r="H21" i="70" s="1"/>
  <c r="V77" i="74"/>
  <c r="U14" i="70" s="1"/>
  <c r="R77" i="74"/>
  <c r="Q14" i="70" s="1"/>
  <c r="N77" i="74"/>
  <c r="M14" i="70" s="1"/>
  <c r="J77" i="74"/>
  <c r="I14" i="70" s="1"/>
  <c r="U80" i="74"/>
  <c r="T40" i="70" s="1"/>
  <c r="Q80" i="74"/>
  <c r="P40" i="70" s="1"/>
  <c r="M80" i="74"/>
  <c r="L40" i="70" s="1"/>
  <c r="I80" i="74"/>
  <c r="H40" i="70" s="1"/>
  <c r="N70" i="74"/>
  <c r="M20" i="70" s="1"/>
  <c r="M22" i="70" s="1"/>
  <c r="T72" i="74"/>
  <c r="S39" i="70" s="1"/>
  <c r="S41" i="70" s="1"/>
  <c r="I71" i="74"/>
  <c r="H27" i="70" s="1"/>
  <c r="H29" i="70" s="1"/>
  <c r="O69" i="74"/>
  <c r="N13" i="70" s="1"/>
  <c r="W72" i="74"/>
  <c r="V39" i="70" s="1"/>
  <c r="V41" i="70" s="1"/>
  <c r="W70" i="74"/>
  <c r="V20" i="70" s="1"/>
  <c r="V22" i="70" s="1"/>
  <c r="W71" i="74"/>
  <c r="V27" i="70" s="1"/>
  <c r="V29" i="70" s="1"/>
  <c r="W69" i="74"/>
  <c r="V13" i="70" s="1"/>
  <c r="H72" i="74"/>
  <c r="G39" i="70" s="1"/>
  <c r="G41" i="70" s="1"/>
  <c r="M71" i="74"/>
  <c r="L27" i="70" s="1"/>
  <c r="L29" i="70" s="1"/>
  <c r="R70" i="74"/>
  <c r="Q20" i="70" s="1"/>
  <c r="Q22" i="70" s="1"/>
  <c r="S69" i="74"/>
  <c r="R13" i="70" s="1"/>
  <c r="P72" i="74"/>
  <c r="O39" i="70" s="1"/>
  <c r="O41" i="70" s="1"/>
  <c r="U71" i="74"/>
  <c r="T27" i="70" s="1"/>
  <c r="T29" i="70" s="1"/>
  <c r="J70" i="74"/>
  <c r="I20" i="70" s="1"/>
  <c r="I22" i="70" s="1"/>
  <c r="K69" i="74"/>
  <c r="J13" i="70" s="1"/>
  <c r="F70" i="74"/>
  <c r="L72" i="74"/>
  <c r="K39" i="70" s="1"/>
  <c r="K41" i="70" s="1"/>
  <c r="Q71" i="74"/>
  <c r="P27" i="70" s="1"/>
  <c r="P29" i="70" s="1"/>
  <c r="V70" i="74"/>
  <c r="U20" i="70" s="1"/>
  <c r="U22" i="70" s="1"/>
  <c r="G69" i="74"/>
  <c r="F13" i="70" s="1"/>
  <c r="F69" i="74"/>
  <c r="S72" i="74"/>
  <c r="R39" i="70" s="1"/>
  <c r="R41" i="70" s="1"/>
  <c r="O72" i="74"/>
  <c r="N39" i="70" s="1"/>
  <c r="N41" i="70" s="1"/>
  <c r="K72" i="74"/>
  <c r="J39" i="70" s="1"/>
  <c r="J41" i="70" s="1"/>
  <c r="G72" i="74"/>
  <c r="F39" i="70" s="1"/>
  <c r="F41" i="70" s="1"/>
  <c r="T71" i="74"/>
  <c r="S27" i="70" s="1"/>
  <c r="S29" i="70" s="1"/>
  <c r="P71" i="74"/>
  <c r="O27" i="70" s="1"/>
  <c r="O29" i="70" s="1"/>
  <c r="L71" i="74"/>
  <c r="K27" i="70" s="1"/>
  <c r="K29" i="70" s="1"/>
  <c r="H71" i="74"/>
  <c r="G27" i="70" s="1"/>
  <c r="G29" i="70" s="1"/>
  <c r="U70" i="74"/>
  <c r="T20" i="70" s="1"/>
  <c r="T22" i="70" s="1"/>
  <c r="Q70" i="74"/>
  <c r="P20" i="70" s="1"/>
  <c r="P22" i="70" s="1"/>
  <c r="M70" i="74"/>
  <c r="L20" i="70" s="1"/>
  <c r="L22" i="70" s="1"/>
  <c r="I70" i="74"/>
  <c r="H20" i="70" s="1"/>
  <c r="H22" i="70" s="1"/>
  <c r="V69" i="74"/>
  <c r="U13" i="70" s="1"/>
  <c r="R69" i="74"/>
  <c r="Q13" i="70" s="1"/>
  <c r="N69" i="74"/>
  <c r="M13" i="70" s="1"/>
  <c r="J69" i="74"/>
  <c r="I13" i="70" s="1"/>
  <c r="U24" i="74"/>
  <c r="U85" i="74"/>
  <c r="T24" i="77" s="1"/>
  <c r="Q24" i="74"/>
  <c r="Q85" i="74"/>
  <c r="P24" i="77" s="1"/>
  <c r="M24" i="74"/>
  <c r="M85" i="74"/>
  <c r="L24" i="77" s="1"/>
  <c r="I24" i="74"/>
  <c r="I85" i="74"/>
  <c r="H24" i="77" s="1"/>
  <c r="F72" i="74"/>
  <c r="E39" i="70" s="1"/>
  <c r="E41" i="70" s="1"/>
  <c r="V72" i="74"/>
  <c r="U39" i="70" s="1"/>
  <c r="U41" i="70" s="1"/>
  <c r="R72" i="74"/>
  <c r="Q39" i="70" s="1"/>
  <c r="Q41" i="70" s="1"/>
  <c r="N72" i="74"/>
  <c r="M39" i="70" s="1"/>
  <c r="M41" i="70" s="1"/>
  <c r="J72" i="74"/>
  <c r="I39" i="70" s="1"/>
  <c r="I41" i="70" s="1"/>
  <c r="S71" i="74"/>
  <c r="R27" i="70" s="1"/>
  <c r="R29" i="70" s="1"/>
  <c r="O71" i="74"/>
  <c r="N27" i="70" s="1"/>
  <c r="N29" i="70" s="1"/>
  <c r="K71" i="74"/>
  <c r="J27" i="70" s="1"/>
  <c r="J29" i="70" s="1"/>
  <c r="G71" i="74"/>
  <c r="F27" i="70" s="1"/>
  <c r="F29" i="70" s="1"/>
  <c r="T70" i="74"/>
  <c r="S20" i="70" s="1"/>
  <c r="S22" i="70" s="1"/>
  <c r="P70" i="74"/>
  <c r="O20" i="70" s="1"/>
  <c r="O22" i="70" s="1"/>
  <c r="L70" i="74"/>
  <c r="K20" i="70" s="1"/>
  <c r="K22" i="70" s="1"/>
  <c r="H70" i="74"/>
  <c r="G20" i="70" s="1"/>
  <c r="G22" i="70" s="1"/>
  <c r="U69" i="74"/>
  <c r="T13" i="70" s="1"/>
  <c r="Q69" i="74"/>
  <c r="P13" i="70" s="1"/>
  <c r="M69" i="74"/>
  <c r="L13" i="70" s="1"/>
  <c r="L16" i="70" s="1"/>
  <c r="I69" i="74"/>
  <c r="H13" i="70" s="1"/>
  <c r="H16" i="70" s="1"/>
  <c r="F71" i="74"/>
  <c r="E27" i="70" s="1"/>
  <c r="E29" i="70" s="1"/>
  <c r="U72" i="74"/>
  <c r="T39" i="70" s="1"/>
  <c r="T41" i="70" s="1"/>
  <c r="Q72" i="74"/>
  <c r="P39" i="70" s="1"/>
  <c r="P41" i="70" s="1"/>
  <c r="M72" i="74"/>
  <c r="L39" i="70" s="1"/>
  <c r="L41" i="70" s="1"/>
  <c r="I72" i="74"/>
  <c r="H39" i="70" s="1"/>
  <c r="H41" i="70" s="1"/>
  <c r="V71" i="74"/>
  <c r="U27" i="70" s="1"/>
  <c r="U29" i="70" s="1"/>
  <c r="R71" i="74"/>
  <c r="Q27" i="70" s="1"/>
  <c r="Q29" i="70" s="1"/>
  <c r="N71" i="74"/>
  <c r="M27" i="70" s="1"/>
  <c r="M29" i="70" s="1"/>
  <c r="J71" i="74"/>
  <c r="I27" i="70" s="1"/>
  <c r="I29" i="70" s="1"/>
  <c r="S70" i="74"/>
  <c r="R20" i="70" s="1"/>
  <c r="R22" i="70" s="1"/>
  <c r="O70" i="74"/>
  <c r="N20" i="70" s="1"/>
  <c r="N22" i="70" s="1"/>
  <c r="K70" i="74"/>
  <c r="J20" i="70" s="1"/>
  <c r="J22" i="70" s="1"/>
  <c r="G70" i="74"/>
  <c r="F20" i="70" s="1"/>
  <c r="F22" i="70" s="1"/>
  <c r="T69" i="74"/>
  <c r="S13" i="70" s="1"/>
  <c r="S16" i="70" s="1"/>
  <c r="P69" i="74"/>
  <c r="O13" i="70" s="1"/>
  <c r="L69" i="74"/>
  <c r="K13" i="70" s="1"/>
  <c r="H69" i="74"/>
  <c r="G13" i="70" s="1"/>
  <c r="C35" i="78"/>
  <c r="K34" i="78"/>
  <c r="T65" i="74"/>
  <c r="P65" i="74"/>
  <c r="L65" i="74"/>
  <c r="H65" i="74"/>
  <c r="W24" i="74"/>
  <c r="S24" i="74"/>
  <c r="O24" i="74"/>
  <c r="K24" i="74"/>
  <c r="G24" i="74"/>
  <c r="W65" i="74"/>
  <c r="S65" i="74"/>
  <c r="O65" i="74"/>
  <c r="K65" i="74"/>
  <c r="G65" i="74"/>
  <c r="F24" i="74"/>
  <c r="T24" i="74"/>
  <c r="P24" i="74"/>
  <c r="L24" i="74"/>
  <c r="H24" i="74"/>
  <c r="V24" i="74"/>
  <c r="R24" i="74"/>
  <c r="N24" i="74"/>
  <c r="J24" i="74"/>
  <c r="F65" i="74"/>
  <c r="V65" i="74"/>
  <c r="R65" i="74"/>
  <c r="N65" i="74"/>
  <c r="J65" i="74"/>
  <c r="W31" i="84" l="1"/>
  <c r="W33" i="84" s="1"/>
  <c r="W24" i="84"/>
  <c r="G27" i="77"/>
  <c r="G29" i="77" s="1"/>
  <c r="G35" i="77" s="1"/>
  <c r="M27" i="77"/>
  <c r="M29" i="77" s="1"/>
  <c r="M35" i="77" s="1"/>
  <c r="R27" i="77"/>
  <c r="R29" i="77" s="1"/>
  <c r="R35" i="77" s="1"/>
  <c r="U30" i="70"/>
  <c r="J47" i="77" a="1"/>
  <c r="J60" i="77" s="1"/>
  <c r="V42" i="70"/>
  <c r="O23" i="70"/>
  <c r="I23" i="70"/>
  <c r="H30" i="70"/>
  <c r="Q16" i="70"/>
  <c r="P23" i="70"/>
  <c r="O30" i="70"/>
  <c r="J16" i="70"/>
  <c r="F23" i="70"/>
  <c r="M42" i="70"/>
  <c r="Q30" i="70"/>
  <c r="S15" i="70"/>
  <c r="S34" i="70"/>
  <c r="P15" i="70"/>
  <c r="P34" i="70"/>
  <c r="M15" i="70"/>
  <c r="M34" i="70"/>
  <c r="F15" i="70"/>
  <c r="F34" i="70"/>
  <c r="E20" i="70"/>
  <c r="E22" i="70" s="1"/>
  <c r="AA70" i="74"/>
  <c r="T42" i="70"/>
  <c r="U16" i="70"/>
  <c r="T23" i="70"/>
  <c r="S30" i="70"/>
  <c r="Q42" i="70"/>
  <c r="N16" i="70"/>
  <c r="M23" i="70"/>
  <c r="L30" i="70"/>
  <c r="J42" i="70"/>
  <c r="O42" i="70"/>
  <c r="J23" i="70"/>
  <c r="G23" i="70"/>
  <c r="S23" i="70"/>
  <c r="N30" i="70"/>
  <c r="N23" i="70"/>
  <c r="F42" i="70"/>
  <c r="K23" i="70"/>
  <c r="G15" i="70"/>
  <c r="G34" i="70"/>
  <c r="Q15" i="70"/>
  <c r="Q34" i="70"/>
  <c r="J15" i="70"/>
  <c r="J34" i="70"/>
  <c r="R15" i="70"/>
  <c r="R34" i="70"/>
  <c r="V15" i="70"/>
  <c r="V34" i="70"/>
  <c r="N15" i="70"/>
  <c r="N34" i="70"/>
  <c r="H42" i="70"/>
  <c r="I16" i="70"/>
  <c r="H23" i="70"/>
  <c r="G30" i="70"/>
  <c r="U42" i="70"/>
  <c r="R16" i="70"/>
  <c r="Q23" i="70"/>
  <c r="P30" i="70"/>
  <c r="L26" i="77"/>
  <c r="L27" i="77" s="1"/>
  <c r="L29" i="77" s="1"/>
  <c r="L35" i="77" s="1"/>
  <c r="T26" i="77"/>
  <c r="T27" i="77" s="1"/>
  <c r="T29" i="77" s="1"/>
  <c r="T35" i="77" s="1"/>
  <c r="N42" i="70"/>
  <c r="S42" i="70"/>
  <c r="R23" i="70"/>
  <c r="J30" i="70"/>
  <c r="G16" i="70"/>
  <c r="V23" i="70"/>
  <c r="F30" i="70"/>
  <c r="O15" i="70"/>
  <c r="O34" i="70"/>
  <c r="L15" i="70"/>
  <c r="L34" i="70"/>
  <c r="I15" i="70"/>
  <c r="I34" i="70"/>
  <c r="E13" i="70"/>
  <c r="E15" i="70" s="1"/>
  <c r="AA69" i="74"/>
  <c r="P42" i="70"/>
  <c r="H26" i="77"/>
  <c r="H27" i="77" s="1"/>
  <c r="H29" i="77" s="1"/>
  <c r="H35" i="77" s="1"/>
  <c r="P26" i="77"/>
  <c r="P27" i="77" s="1"/>
  <c r="P29" i="77" s="1"/>
  <c r="P35" i="77" s="1"/>
  <c r="K42" i="70"/>
  <c r="T15" i="70"/>
  <c r="T34" i="70"/>
  <c r="K15" i="70"/>
  <c r="K34" i="70"/>
  <c r="H15" i="70"/>
  <c r="H34" i="70"/>
  <c r="N54" i="70" a="1"/>
  <c r="N59" i="70" s="1"/>
  <c r="U15" i="70"/>
  <c r="U34" i="70"/>
  <c r="L42" i="70"/>
  <c r="M16" i="70"/>
  <c r="L23" i="70"/>
  <c r="K30" i="70"/>
  <c r="I42" i="70"/>
  <c r="F16" i="70"/>
  <c r="V16" i="70"/>
  <c r="U23" i="70"/>
  <c r="T30" i="70"/>
  <c r="R42" i="70"/>
  <c r="G42" i="70"/>
  <c r="K16" i="70"/>
  <c r="I30" i="70"/>
  <c r="T16" i="70"/>
  <c r="R30" i="70"/>
  <c r="P16" i="70"/>
  <c r="O16" i="70"/>
  <c r="M30" i="70"/>
  <c r="V30" i="70"/>
  <c r="AA78" i="74"/>
  <c r="AA77" i="74"/>
  <c r="E42" i="70"/>
  <c r="E30" i="70"/>
  <c r="E21" i="70"/>
  <c r="E14" i="70"/>
  <c r="C36" i="78"/>
  <c r="K35" i="78"/>
  <c r="W26" i="84" l="1"/>
  <c r="X13" i="84"/>
  <c r="K35" i="70"/>
  <c r="K45" i="70" s="1"/>
  <c r="L35" i="70"/>
  <c r="L45" i="70" s="1"/>
  <c r="R36" i="77"/>
  <c r="R37" i="77"/>
  <c r="M36" i="77"/>
  <c r="M37" i="77"/>
  <c r="G36" i="77"/>
  <c r="G37" i="77"/>
  <c r="J52" i="77"/>
  <c r="J58" i="77"/>
  <c r="J55" i="77"/>
  <c r="J51" i="77"/>
  <c r="J64" i="77"/>
  <c r="J65" i="77"/>
  <c r="J66" i="77"/>
  <c r="J47" i="77"/>
  <c r="J61" i="77"/>
  <c r="J53" i="77"/>
  <c r="J50" i="77"/>
  <c r="N63" i="70"/>
  <c r="J48" i="77"/>
  <c r="J49" i="77"/>
  <c r="J57" i="77"/>
  <c r="J54" i="77"/>
  <c r="N61" i="70"/>
  <c r="J59" i="77"/>
  <c r="J63" i="77"/>
  <c r="J67" i="77"/>
  <c r="J62" i="77"/>
  <c r="J56" i="77"/>
  <c r="E23" i="70"/>
  <c r="N70" i="70"/>
  <c r="N72" i="70"/>
  <c r="N60" i="70"/>
  <c r="N62" i="70"/>
  <c r="N73" i="70"/>
  <c r="N71" i="70"/>
  <c r="H35" i="70"/>
  <c r="H45" i="70" s="1"/>
  <c r="E16" i="70"/>
  <c r="G54" i="70" s="1" a="1"/>
  <c r="G64" i="70" s="1"/>
  <c r="O35" i="70"/>
  <c r="O45" i="70" s="1"/>
  <c r="N66" i="70"/>
  <c r="N69" i="70"/>
  <c r="N64" i="70"/>
  <c r="N67" i="70"/>
  <c r="P35" i="70"/>
  <c r="P45" i="70" s="1"/>
  <c r="N54" i="70"/>
  <c r="N57" i="70"/>
  <c r="N56" i="70"/>
  <c r="N55" i="70"/>
  <c r="K36" i="77"/>
  <c r="K37" i="77"/>
  <c r="N37" i="77"/>
  <c r="N36" i="77"/>
  <c r="Q36" i="77"/>
  <c r="Q37" i="77"/>
  <c r="S36" i="77"/>
  <c r="S37" i="77"/>
  <c r="V36" i="77"/>
  <c r="V37" i="77"/>
  <c r="J37" i="77"/>
  <c r="J36" i="77"/>
  <c r="F36" i="77"/>
  <c r="F37" i="77"/>
  <c r="O37" i="77"/>
  <c r="O36" i="77"/>
  <c r="U37" i="77"/>
  <c r="U36" i="77"/>
  <c r="I36" i="77"/>
  <c r="I37" i="77"/>
  <c r="H54" i="70" a="1"/>
  <c r="Q35" i="70"/>
  <c r="Q45" i="70" s="1"/>
  <c r="T35" i="70"/>
  <c r="T45" i="70" s="1"/>
  <c r="F35" i="70"/>
  <c r="F45" i="70" s="1"/>
  <c r="I35" i="70"/>
  <c r="I45" i="70" s="1"/>
  <c r="N35" i="70"/>
  <c r="N45" i="70" s="1"/>
  <c r="R35" i="70"/>
  <c r="R45" i="70" s="1"/>
  <c r="U35" i="70"/>
  <c r="U45" i="70" s="1"/>
  <c r="V35" i="70"/>
  <c r="V45" i="70" s="1"/>
  <c r="G35" i="70"/>
  <c r="G45" i="70" s="1"/>
  <c r="S35" i="70"/>
  <c r="S45" i="70" s="1"/>
  <c r="J35" i="70"/>
  <c r="J45" i="70" s="1"/>
  <c r="M35" i="70"/>
  <c r="M45" i="70" s="1"/>
  <c r="E34" i="70"/>
  <c r="M54" i="70" s="1" a="1"/>
  <c r="M69" i="70" s="1"/>
  <c r="N58" i="70"/>
  <c r="N65" i="70"/>
  <c r="N68" i="70"/>
  <c r="N74" i="70"/>
  <c r="E36" i="77"/>
  <c r="E37" i="77"/>
  <c r="C37" i="78"/>
  <c r="K36" i="78"/>
  <c r="D10" i="76"/>
  <c r="E10" i="76"/>
  <c r="F10" i="76"/>
  <c r="G10" i="76"/>
  <c r="H10" i="76"/>
  <c r="I10" i="76"/>
  <c r="J10" i="76"/>
  <c r="K10" i="76"/>
  <c r="L10" i="76"/>
  <c r="M10" i="76"/>
  <c r="N10" i="76"/>
  <c r="O10" i="76"/>
  <c r="P10" i="76"/>
  <c r="Q10" i="76"/>
  <c r="R10" i="76"/>
  <c r="S10" i="76"/>
  <c r="T10" i="76"/>
  <c r="C10" i="76"/>
  <c r="X31" i="84" l="1"/>
  <c r="X33" i="84" s="1"/>
  <c r="X24" i="84"/>
  <c r="G39" i="77"/>
  <c r="M39" i="77"/>
  <c r="R39" i="77"/>
  <c r="K53" i="77"/>
  <c r="K48" i="77"/>
  <c r="K52" i="77"/>
  <c r="K51" i="77"/>
  <c r="K50" i="77"/>
  <c r="K58" i="77"/>
  <c r="K49" i="77"/>
  <c r="K65" i="77"/>
  <c r="M61" i="70"/>
  <c r="M74" i="70"/>
  <c r="M59" i="70"/>
  <c r="M68" i="70"/>
  <c r="M70" i="70"/>
  <c r="M54" i="70"/>
  <c r="O54" i="70" s="1"/>
  <c r="Z10" i="76"/>
  <c r="M64" i="70"/>
  <c r="M60" i="70"/>
  <c r="M55" i="70"/>
  <c r="O55" i="70" s="1"/>
  <c r="M72" i="70"/>
  <c r="M57" i="70"/>
  <c r="U39" i="77"/>
  <c r="F39" i="77"/>
  <c r="V39" i="77"/>
  <c r="Q39" i="77"/>
  <c r="K39" i="77"/>
  <c r="I39" i="77"/>
  <c r="N39" i="77"/>
  <c r="G47" i="77" a="1"/>
  <c r="G50" i="77" s="1"/>
  <c r="D184" i="52" s="1"/>
  <c r="O39" i="77"/>
  <c r="J39" i="77"/>
  <c r="T36" i="77"/>
  <c r="T37" i="77"/>
  <c r="P36" i="77"/>
  <c r="P37" i="77"/>
  <c r="L37" i="77"/>
  <c r="L36" i="77"/>
  <c r="S39" i="77"/>
  <c r="H55" i="70"/>
  <c r="H57" i="70"/>
  <c r="H65" i="70"/>
  <c r="H73" i="70"/>
  <c r="H58" i="70"/>
  <c r="H66" i="70"/>
  <c r="H74" i="70"/>
  <c r="H61" i="70"/>
  <c r="H69" i="70"/>
  <c r="H54" i="70"/>
  <c r="H62" i="70"/>
  <c r="H70" i="70"/>
  <c r="H64" i="70"/>
  <c r="H67" i="70"/>
  <c r="H60" i="70"/>
  <c r="H63" i="70"/>
  <c r="H72" i="70"/>
  <c r="H56" i="70"/>
  <c r="H59" i="70"/>
  <c r="H68" i="70"/>
  <c r="H71" i="70"/>
  <c r="G63" i="70"/>
  <c r="G68" i="70"/>
  <c r="G69" i="70"/>
  <c r="G62" i="70"/>
  <c r="G55" i="70"/>
  <c r="G57" i="70"/>
  <c r="G58" i="70"/>
  <c r="G60" i="70"/>
  <c r="G66" i="70"/>
  <c r="G74" i="70"/>
  <c r="G65" i="70"/>
  <c r="G54" i="70"/>
  <c r="G59" i="70"/>
  <c r="G72" i="70"/>
  <c r="G56" i="70"/>
  <c r="G71" i="70"/>
  <c r="G61" i="70"/>
  <c r="G73" i="70"/>
  <c r="G70" i="70"/>
  <c r="G67" i="70"/>
  <c r="M62" i="70"/>
  <c r="M58" i="70"/>
  <c r="M56" i="70"/>
  <c r="O56" i="70" s="1"/>
  <c r="M63" i="70"/>
  <c r="M73" i="70"/>
  <c r="M71" i="70"/>
  <c r="M66" i="70"/>
  <c r="M67" i="70"/>
  <c r="M65" i="70"/>
  <c r="E39" i="77"/>
  <c r="K54" i="77"/>
  <c r="K57" i="77"/>
  <c r="K60" i="77"/>
  <c r="K67" i="77"/>
  <c r="K55" i="77"/>
  <c r="K61" i="77"/>
  <c r="K63" i="77"/>
  <c r="K62" i="77"/>
  <c r="K56" i="77"/>
  <c r="K59" i="77"/>
  <c r="K66" i="77"/>
  <c r="K64" i="77"/>
  <c r="C38" i="78"/>
  <c r="K37" i="78"/>
  <c r="X77" i="76"/>
  <c r="X76" i="76"/>
  <c r="X69" i="76"/>
  <c r="X68" i="76"/>
  <c r="X61" i="76"/>
  <c r="X60" i="76"/>
  <c r="X25" i="76"/>
  <c r="X24" i="76"/>
  <c r="X18" i="76"/>
  <c r="X10" i="76"/>
  <c r="C47" i="76"/>
  <c r="D47" i="76" s="1"/>
  <c r="E47" i="76" s="1"/>
  <c r="F47" i="76" s="1"/>
  <c r="G47" i="76" s="1"/>
  <c r="H47" i="76" s="1"/>
  <c r="I47" i="76" s="1"/>
  <c r="J47" i="76" s="1"/>
  <c r="K47" i="76" s="1"/>
  <c r="L47" i="76" s="1"/>
  <c r="M47" i="76" s="1"/>
  <c r="N47" i="76" s="1"/>
  <c r="O47" i="76" s="1"/>
  <c r="P47" i="76" s="1"/>
  <c r="Q47" i="76" s="1"/>
  <c r="R47" i="76" s="1"/>
  <c r="S47" i="76" s="1"/>
  <c r="T47" i="76" s="1"/>
  <c r="U47" i="76" s="1"/>
  <c r="V47" i="76" s="1"/>
  <c r="W47" i="76" s="1"/>
  <c r="C39" i="76"/>
  <c r="D39" i="76" s="1"/>
  <c r="E39" i="76" s="1"/>
  <c r="F39" i="76" s="1"/>
  <c r="G39" i="76" s="1"/>
  <c r="H39" i="76" s="1"/>
  <c r="I39" i="76" s="1"/>
  <c r="J39" i="76" s="1"/>
  <c r="K39" i="76" s="1"/>
  <c r="L39" i="76" s="1"/>
  <c r="M39" i="76" s="1"/>
  <c r="N39" i="76" s="1"/>
  <c r="O39" i="76" s="1"/>
  <c r="P39" i="76" s="1"/>
  <c r="Q39" i="76" s="1"/>
  <c r="R39" i="76" s="1"/>
  <c r="S39" i="76" s="1"/>
  <c r="T39" i="76" s="1"/>
  <c r="U39" i="76" s="1"/>
  <c r="V39" i="76" s="1"/>
  <c r="W39" i="76" s="1"/>
  <c r="C31" i="76"/>
  <c r="D31" i="76" s="1"/>
  <c r="E31" i="76" s="1"/>
  <c r="F31" i="76" s="1"/>
  <c r="G31" i="76" s="1"/>
  <c r="H31" i="76" s="1"/>
  <c r="I31" i="76" s="1"/>
  <c r="J31" i="76" s="1"/>
  <c r="K31" i="76" s="1"/>
  <c r="L31" i="76" s="1"/>
  <c r="M31" i="76" s="1"/>
  <c r="N31" i="76" s="1"/>
  <c r="O31" i="76" s="1"/>
  <c r="P31" i="76" s="1"/>
  <c r="Q31" i="76" s="1"/>
  <c r="R31" i="76" s="1"/>
  <c r="S31" i="76" s="1"/>
  <c r="T31" i="76" s="1"/>
  <c r="U31" i="76" s="1"/>
  <c r="V31" i="76" s="1"/>
  <c r="W31" i="76" s="1"/>
  <c r="C13" i="76"/>
  <c r="D13" i="76" s="1"/>
  <c r="E13" i="76" s="1"/>
  <c r="F13" i="76" s="1"/>
  <c r="G13" i="76" s="1"/>
  <c r="H13" i="76" s="1"/>
  <c r="I13" i="76" s="1"/>
  <c r="J13" i="76" s="1"/>
  <c r="K13" i="76" s="1"/>
  <c r="L13" i="76" s="1"/>
  <c r="M13" i="76" s="1"/>
  <c r="N13" i="76" s="1"/>
  <c r="O13" i="76" s="1"/>
  <c r="P13" i="76" s="1"/>
  <c r="Q13" i="76" s="1"/>
  <c r="R13" i="76" s="1"/>
  <c r="S13" i="76" s="1"/>
  <c r="T13" i="76" s="1"/>
  <c r="U13" i="76" s="1"/>
  <c r="V13" i="76" s="1"/>
  <c r="W13" i="76" s="1"/>
  <c r="C5" i="76"/>
  <c r="D5" i="76" s="1"/>
  <c r="E5" i="76" s="1"/>
  <c r="F5" i="76" s="1"/>
  <c r="G5" i="76" s="1"/>
  <c r="H5" i="76" s="1"/>
  <c r="I5" i="76" s="1"/>
  <c r="J5" i="76" s="1"/>
  <c r="K5" i="76" s="1"/>
  <c r="L5" i="76" s="1"/>
  <c r="M5" i="76" s="1"/>
  <c r="N5" i="76" s="1"/>
  <c r="O5" i="76" s="1"/>
  <c r="P5" i="76" s="1"/>
  <c r="Q5" i="76" s="1"/>
  <c r="R5" i="76" s="1"/>
  <c r="S5" i="76" s="1"/>
  <c r="T5" i="76" s="1"/>
  <c r="U5" i="76" s="1"/>
  <c r="V5" i="76" s="1"/>
  <c r="W5" i="76" s="1"/>
  <c r="X26" i="84" l="1"/>
  <c r="Y13" i="84"/>
  <c r="L66" i="77"/>
  <c r="N66" i="77" s="1"/>
  <c r="L63" i="77"/>
  <c r="N63" i="77" s="1"/>
  <c r="L60" i="77"/>
  <c r="N60" i="77" s="1"/>
  <c r="L50" i="77"/>
  <c r="N50" i="77" s="1"/>
  <c r="L53" i="77"/>
  <c r="N53" i="77" s="1"/>
  <c r="L59" i="77"/>
  <c r="N59" i="77" s="1"/>
  <c r="L61" i="77"/>
  <c r="N61" i="77" s="1"/>
  <c r="L57" i="77"/>
  <c r="N57" i="77" s="1"/>
  <c r="L65" i="77"/>
  <c r="N65" i="77" s="1"/>
  <c r="L51" i="77"/>
  <c r="N51" i="77" s="1"/>
  <c r="L56" i="77"/>
  <c r="N56" i="77" s="1"/>
  <c r="L55" i="77"/>
  <c r="N55" i="77" s="1"/>
  <c r="L54" i="77"/>
  <c r="N54" i="77" s="1"/>
  <c r="L49" i="77"/>
  <c r="N49" i="77" s="1"/>
  <c r="L52" i="77"/>
  <c r="N52" i="77" s="1"/>
  <c r="L64" i="77"/>
  <c r="N64" i="77" s="1"/>
  <c r="L62" i="77"/>
  <c r="N62" i="77" s="1"/>
  <c r="L67" i="77"/>
  <c r="N67" i="77" s="1"/>
  <c r="L58" i="77"/>
  <c r="N58" i="77" s="1"/>
  <c r="L48" i="77"/>
  <c r="N48" i="77" s="1"/>
  <c r="O48" i="77" s="1"/>
  <c r="Z28" i="76"/>
  <c r="Z19" i="76"/>
  <c r="Z27" i="76"/>
  <c r="L39" i="77"/>
  <c r="T39" i="77"/>
  <c r="G56" i="77"/>
  <c r="D190" i="52" s="1"/>
  <c r="G47" i="77"/>
  <c r="D181" i="52" s="1"/>
  <c r="G58" i="77"/>
  <c r="D192" i="52" s="1"/>
  <c r="G66" i="77"/>
  <c r="D200" i="52" s="1"/>
  <c r="G62" i="77"/>
  <c r="D196" i="52" s="1"/>
  <c r="G64" i="77"/>
  <c r="D198" i="52" s="1"/>
  <c r="G48" i="77"/>
  <c r="D182" i="52" s="1"/>
  <c r="G53" i="77"/>
  <c r="D187" i="52" s="1"/>
  <c r="G60" i="77"/>
  <c r="D194" i="52" s="1"/>
  <c r="P39" i="77"/>
  <c r="G57" i="77"/>
  <c r="D191" i="52" s="1"/>
  <c r="G67" i="77"/>
  <c r="D201" i="52" s="1"/>
  <c r="G59" i="77"/>
  <c r="D193" i="52" s="1"/>
  <c r="G63" i="77"/>
  <c r="D197" i="52" s="1"/>
  <c r="G52" i="77"/>
  <c r="D186" i="52" s="1"/>
  <c r="G51" i="77"/>
  <c r="D185" i="52" s="1"/>
  <c r="G55" i="77"/>
  <c r="D189" i="52" s="1"/>
  <c r="G65" i="77"/>
  <c r="D199" i="52" s="1"/>
  <c r="G54" i="77"/>
  <c r="D188" i="52" s="1"/>
  <c r="G49" i="77"/>
  <c r="D183" i="52" s="1"/>
  <c r="G61" i="77"/>
  <c r="D195" i="52" s="1"/>
  <c r="H37" i="77"/>
  <c r="H36" i="77"/>
  <c r="H47" i="77" a="1"/>
  <c r="O59" i="70"/>
  <c r="O69" i="70"/>
  <c r="O72" i="70"/>
  <c r="O68" i="70"/>
  <c r="O58" i="70"/>
  <c r="O65" i="70"/>
  <c r="O67" i="70"/>
  <c r="O70" i="70"/>
  <c r="O60" i="70"/>
  <c r="O57" i="70"/>
  <c r="O63" i="70"/>
  <c r="O73" i="70"/>
  <c r="O62" i="70"/>
  <c r="O74" i="70"/>
  <c r="O61" i="70"/>
  <c r="O71" i="70"/>
  <c r="O64" i="70"/>
  <c r="O66" i="70"/>
  <c r="X78" i="76"/>
  <c r="X70" i="76"/>
  <c r="X62" i="76"/>
  <c r="X26" i="76"/>
  <c r="C39" i="78"/>
  <c r="K38" i="78"/>
  <c r="O58" i="77" l="1"/>
  <c r="S58" i="77" s="1"/>
  <c r="O56" i="77"/>
  <c r="S56" i="77" s="1"/>
  <c r="O61" i="77"/>
  <c r="S61" i="77" s="1"/>
  <c r="O60" i="77"/>
  <c r="S60" i="77" s="1"/>
  <c r="O51" i="77"/>
  <c r="S51" i="77" s="1"/>
  <c r="O63" i="77"/>
  <c r="S63" i="77" s="1"/>
  <c r="O62" i="77"/>
  <c r="S62" i="77" s="1"/>
  <c r="O54" i="77"/>
  <c r="S54" i="77" s="1"/>
  <c r="O65" i="77"/>
  <c r="S65" i="77" s="1"/>
  <c r="O53" i="77"/>
  <c r="S53" i="77" s="1"/>
  <c r="O66" i="77"/>
  <c r="S66" i="77" s="1"/>
  <c r="O52" i="77"/>
  <c r="S52" i="77" s="1"/>
  <c r="O67" i="77"/>
  <c r="S67" i="77" s="1"/>
  <c r="O49" i="77"/>
  <c r="S49" i="77" s="1"/>
  <c r="O59" i="77"/>
  <c r="S59" i="77" s="1"/>
  <c r="O64" i="77"/>
  <c r="S64" i="77" s="1"/>
  <c r="O55" i="77"/>
  <c r="S55" i="77" s="1"/>
  <c r="O57" i="77"/>
  <c r="S57" i="77" s="1"/>
  <c r="O50" i="77"/>
  <c r="S50" i="77" s="1"/>
  <c r="Y31" i="84"/>
  <c r="Y33" i="84" s="1"/>
  <c r="G40" i="84" s="1" a="1"/>
  <c r="Y24" i="84"/>
  <c r="Y26" i="84" s="1"/>
  <c r="J40" i="84" s="1" a="1"/>
  <c r="N68" i="77"/>
  <c r="G68" i="77"/>
  <c r="H39" i="77"/>
  <c r="H58" i="77"/>
  <c r="H49" i="77"/>
  <c r="H65" i="77"/>
  <c r="H57" i="77"/>
  <c r="H67" i="77"/>
  <c r="H48" i="77"/>
  <c r="H52" i="77"/>
  <c r="H61" i="77"/>
  <c r="H54" i="77"/>
  <c r="H53" i="77"/>
  <c r="H47" i="77"/>
  <c r="H63" i="77"/>
  <c r="H59" i="77"/>
  <c r="H51" i="77"/>
  <c r="H55" i="77"/>
  <c r="H64" i="77"/>
  <c r="H50" i="77"/>
  <c r="H66" i="77"/>
  <c r="H62" i="77"/>
  <c r="H60" i="77"/>
  <c r="H56" i="77"/>
  <c r="C40" i="78"/>
  <c r="K39" i="78"/>
  <c r="Q19" i="68"/>
  <c r="P19" i="68"/>
  <c r="O19" i="68"/>
  <c r="J40" i="84" l="1"/>
  <c r="J46" i="84"/>
  <c r="P46" i="84" s="1"/>
  <c r="J54" i="84"/>
  <c r="P54" i="84" s="1"/>
  <c r="J48" i="84"/>
  <c r="P48" i="84" s="1"/>
  <c r="J42" i="84"/>
  <c r="P42" i="84" s="1"/>
  <c r="J55" i="84"/>
  <c r="P55" i="84" s="1"/>
  <c r="J47" i="84"/>
  <c r="P47" i="84" s="1"/>
  <c r="J56" i="84"/>
  <c r="P56" i="84" s="1"/>
  <c r="J43" i="84"/>
  <c r="P43" i="84" s="1"/>
  <c r="J60" i="84"/>
  <c r="P60" i="84" s="1"/>
  <c r="J58" i="84"/>
  <c r="P58" i="84" s="1"/>
  <c r="J45" i="84"/>
  <c r="P45" i="84" s="1"/>
  <c r="J57" i="84"/>
  <c r="P57" i="84" s="1"/>
  <c r="J50" i="84"/>
  <c r="P50" i="84" s="1"/>
  <c r="J52" i="84"/>
  <c r="P52" i="84" s="1"/>
  <c r="J51" i="84"/>
  <c r="P51" i="84" s="1"/>
  <c r="J49" i="84"/>
  <c r="P49" i="84" s="1"/>
  <c r="J59" i="84"/>
  <c r="P59" i="84" s="1"/>
  <c r="J53" i="84"/>
  <c r="P53" i="84" s="1"/>
  <c r="J44" i="84"/>
  <c r="P44" i="84" s="1"/>
  <c r="J41" i="84"/>
  <c r="P41" i="84" s="1"/>
  <c r="G50" i="84"/>
  <c r="G43" i="84"/>
  <c r="G41" i="84"/>
  <c r="G40" i="84"/>
  <c r="G57" i="84"/>
  <c r="G55" i="84"/>
  <c r="G52" i="84"/>
  <c r="G47" i="84"/>
  <c r="G56" i="84"/>
  <c r="G51" i="84"/>
  <c r="G46" i="84"/>
  <c r="G58" i="84"/>
  <c r="G49" i="84"/>
  <c r="G53" i="84"/>
  <c r="G44" i="84"/>
  <c r="G59" i="84"/>
  <c r="G45" i="84"/>
  <c r="G60" i="84"/>
  <c r="G54" i="84"/>
  <c r="G48" i="84"/>
  <c r="G42" i="84"/>
  <c r="O68" i="77"/>
  <c r="O69" i="77"/>
  <c r="I32" i="75" s="1"/>
  <c r="S48" i="77"/>
  <c r="S68" i="77" s="1"/>
  <c r="K244" i="52" s="1"/>
  <c r="K252" i="52" s="1"/>
  <c r="H68" i="77"/>
  <c r="F244" i="52" s="1"/>
  <c r="R60" i="77"/>
  <c r="E194" i="52"/>
  <c r="E197" i="52"/>
  <c r="R63" i="77"/>
  <c r="R61" i="77"/>
  <c r="E195" i="52"/>
  <c r="E191" i="52"/>
  <c r="R57" i="77"/>
  <c r="E196" i="52"/>
  <c r="R62" i="77"/>
  <c r="R55" i="77"/>
  <c r="E189" i="52"/>
  <c r="E181" i="52"/>
  <c r="R47" i="77"/>
  <c r="R52" i="77"/>
  <c r="E186" i="52"/>
  <c r="E199" i="52"/>
  <c r="R65" i="77"/>
  <c r="E185" i="52"/>
  <c r="R51" i="77"/>
  <c r="R53" i="77"/>
  <c r="E187" i="52"/>
  <c r="E182" i="52"/>
  <c r="R48" i="77"/>
  <c r="R49" i="77"/>
  <c r="E183" i="52"/>
  <c r="E198" i="52"/>
  <c r="R64" i="77"/>
  <c r="E200" i="52"/>
  <c r="R66" i="77"/>
  <c r="E190" i="52"/>
  <c r="R56" i="77"/>
  <c r="E184" i="52"/>
  <c r="R50" i="77"/>
  <c r="E193" i="52"/>
  <c r="R59" i="77"/>
  <c r="R54" i="77"/>
  <c r="E188" i="52"/>
  <c r="R67" i="77"/>
  <c r="E201" i="52"/>
  <c r="E192" i="52"/>
  <c r="R58" i="77"/>
  <c r="P29" i="68"/>
  <c r="P33" i="68"/>
  <c r="P37" i="68"/>
  <c r="P41" i="68"/>
  <c r="P45" i="68"/>
  <c r="P35" i="68"/>
  <c r="P26" i="68"/>
  <c r="P30" i="68"/>
  <c r="P34" i="68"/>
  <c r="P38" i="68"/>
  <c r="P42" i="68"/>
  <c r="P46" i="68"/>
  <c r="P31" i="68"/>
  <c r="P28" i="68"/>
  <c r="P32" i="68"/>
  <c r="P36" i="68"/>
  <c r="P40" i="68"/>
  <c r="P44" i="68"/>
  <c r="P27" i="68"/>
  <c r="P39" i="68"/>
  <c r="K39" i="68" s="1"/>
  <c r="P43" i="68"/>
  <c r="O28" i="68"/>
  <c r="O32" i="68"/>
  <c r="K32" i="68" s="1"/>
  <c r="O36" i="68"/>
  <c r="O40" i="68"/>
  <c r="O44" i="68"/>
  <c r="O38" i="68"/>
  <c r="O29" i="68"/>
  <c r="O33" i="68"/>
  <c r="O37" i="68"/>
  <c r="O41" i="68"/>
  <c r="O45" i="68"/>
  <c r="O30" i="68"/>
  <c r="O42" i="68"/>
  <c r="O27" i="68"/>
  <c r="O31" i="68"/>
  <c r="O35" i="68"/>
  <c r="O39" i="68"/>
  <c r="R39" i="68" s="1"/>
  <c r="O43" i="68"/>
  <c r="O26" i="68"/>
  <c r="K26" i="68" s="1"/>
  <c r="E96" i="68" s="1"/>
  <c r="O34" i="68"/>
  <c r="O46" i="68"/>
  <c r="R46" i="68" s="1"/>
  <c r="H46" i="68" s="1"/>
  <c r="Q30" i="68"/>
  <c r="Q34" i="68"/>
  <c r="Q38" i="68"/>
  <c r="Q42" i="68"/>
  <c r="Q46" i="68"/>
  <c r="Q32" i="68"/>
  <c r="Q44" i="68"/>
  <c r="Q27" i="68"/>
  <c r="Q31" i="68"/>
  <c r="Q35" i="68"/>
  <c r="Q39" i="68"/>
  <c r="Q43" i="68"/>
  <c r="Q26" i="68"/>
  <c r="Q28" i="68"/>
  <c r="Q40" i="68"/>
  <c r="Q29" i="68"/>
  <c r="Q33" i="68"/>
  <c r="Q37" i="68"/>
  <c r="Q41" i="68"/>
  <c r="Q45" i="68"/>
  <c r="Q36" i="68"/>
  <c r="H39" i="68"/>
  <c r="H45" i="68"/>
  <c r="C41" i="78"/>
  <c r="K40" i="78"/>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81" i="2"/>
  <c r="D12" i="60"/>
  <c r="D11" i="60"/>
  <c r="D10" i="60"/>
  <c r="D9" i="60"/>
  <c r="D8" i="60"/>
  <c r="D7" i="60"/>
  <c r="N42" i="84" l="1"/>
  <c r="J154" i="52"/>
  <c r="J157" i="52"/>
  <c r="N45" i="84"/>
  <c r="N49" i="84"/>
  <c r="J161" i="52"/>
  <c r="J168" i="52"/>
  <c r="N56" i="84"/>
  <c r="N57" i="84"/>
  <c r="J169" i="52"/>
  <c r="J162" i="52"/>
  <c r="N50" i="84"/>
  <c r="N48" i="84"/>
  <c r="J160" i="52"/>
  <c r="J171" i="52"/>
  <c r="N59" i="84"/>
  <c r="N58" i="84"/>
  <c r="J170" i="52"/>
  <c r="N47" i="84"/>
  <c r="J159" i="52"/>
  <c r="G61" i="84"/>
  <c r="G62" i="84" s="1"/>
  <c r="G63" i="84" s="1"/>
  <c r="N40" i="84"/>
  <c r="J152" i="52"/>
  <c r="P40" i="84"/>
  <c r="P61" i="84" s="1"/>
  <c r="K243" i="52" s="1"/>
  <c r="K251" i="52" s="1"/>
  <c r="J61" i="84"/>
  <c r="N54" i="84"/>
  <c r="J166" i="52"/>
  <c r="N44" i="84"/>
  <c r="J156" i="52"/>
  <c r="J158" i="52"/>
  <c r="N46" i="84"/>
  <c r="J164" i="52"/>
  <c r="N52" i="84"/>
  <c r="J153" i="52"/>
  <c r="N41" i="84"/>
  <c r="J172" i="52"/>
  <c r="N60" i="84"/>
  <c r="J165" i="52"/>
  <c r="N53" i="84"/>
  <c r="J163" i="52"/>
  <c r="N51" i="84"/>
  <c r="N55" i="84"/>
  <c r="J167" i="52"/>
  <c r="J155" i="52"/>
  <c r="N43" i="84"/>
  <c r="O70" i="77"/>
  <c r="R68" i="77"/>
  <c r="K47" i="68"/>
  <c r="R83" i="68"/>
  <c r="S83" i="68" s="1"/>
  <c r="E40" i="28"/>
  <c r="R76" i="68"/>
  <c r="S76" i="68" s="1"/>
  <c r="E33" i="28"/>
  <c r="I46" i="68"/>
  <c r="E90" i="68"/>
  <c r="I45" i="68"/>
  <c r="E89" i="68"/>
  <c r="R32" i="68"/>
  <c r="H32" i="68" s="1"/>
  <c r="H47" i="68" s="1"/>
  <c r="C42" i="78"/>
  <c r="K41" i="78"/>
  <c r="D86" i="68"/>
  <c r="D87" i="68"/>
  <c r="D70" i="68"/>
  <c r="D71" i="68"/>
  <c r="D72" i="68"/>
  <c r="D73" i="68"/>
  <c r="D74" i="68"/>
  <c r="D75" i="68"/>
  <c r="D76" i="68"/>
  <c r="D77" i="68"/>
  <c r="D78" i="68"/>
  <c r="D79" i="68"/>
  <c r="D80" i="68"/>
  <c r="D81" i="68"/>
  <c r="D82" i="68"/>
  <c r="D83" i="68"/>
  <c r="D84" i="68"/>
  <c r="D85" i="68"/>
  <c r="D69" i="68"/>
  <c r="M39" i="67"/>
  <c r="M40" i="67"/>
  <c r="M38" i="67"/>
  <c r="N61" i="84" l="1"/>
  <c r="F243" i="52" s="1"/>
  <c r="I33" i="75"/>
  <c r="J62" i="84"/>
  <c r="J63" i="84" s="1"/>
  <c r="J173" i="52"/>
  <c r="B26" i="28"/>
  <c r="F69" i="68"/>
  <c r="H85" i="68"/>
  <c r="B42" i="28"/>
  <c r="H77" i="68"/>
  <c r="B34" i="28"/>
  <c r="H87" i="68"/>
  <c r="B44" i="28"/>
  <c r="G82" i="68"/>
  <c r="B39" i="28"/>
  <c r="G78" i="68"/>
  <c r="B35" i="28"/>
  <c r="G74" i="68"/>
  <c r="B31" i="28"/>
  <c r="G70" i="68"/>
  <c r="B27" i="28"/>
  <c r="J90" i="68"/>
  <c r="L90" i="68" s="1"/>
  <c r="I90" i="68"/>
  <c r="K90" i="68" s="1"/>
  <c r="C47" i="28"/>
  <c r="D47" i="28" s="1"/>
  <c r="H81" i="68"/>
  <c r="B38" i="28"/>
  <c r="H73" i="68"/>
  <c r="B30" i="28"/>
  <c r="H84" i="68"/>
  <c r="B41" i="28"/>
  <c r="G76" i="68"/>
  <c r="B33" i="28"/>
  <c r="H72" i="68"/>
  <c r="B29" i="28"/>
  <c r="G86" i="68"/>
  <c r="B43" i="28"/>
  <c r="G80" i="68"/>
  <c r="B37" i="28"/>
  <c r="G83" i="68"/>
  <c r="B40" i="28"/>
  <c r="H79" i="68"/>
  <c r="B36" i="28"/>
  <c r="H75" i="68"/>
  <c r="B32" i="28"/>
  <c r="G71" i="68"/>
  <c r="B28" i="28"/>
  <c r="R70" i="68"/>
  <c r="R91" i="68" s="1"/>
  <c r="E27" i="28"/>
  <c r="E48" i="28" s="1"/>
  <c r="E51" i="28" s="1"/>
  <c r="J89" i="68"/>
  <c r="L89" i="68" s="1"/>
  <c r="I89" i="68"/>
  <c r="K89" i="68" s="1"/>
  <c r="C46" i="28"/>
  <c r="D46" i="28" s="1"/>
  <c r="G81" i="68"/>
  <c r="G85" i="68"/>
  <c r="C43" i="78"/>
  <c r="K42" i="78"/>
  <c r="G77" i="68"/>
  <c r="G73" i="68"/>
  <c r="H69" i="68"/>
  <c r="G69" i="68"/>
  <c r="H80" i="68"/>
  <c r="H76" i="68"/>
  <c r="G84" i="68"/>
  <c r="G72" i="68"/>
  <c r="H83" i="68"/>
  <c r="H71" i="68"/>
  <c r="G87" i="68"/>
  <c r="G79" i="68"/>
  <c r="G75" i="68"/>
  <c r="H86" i="68"/>
  <c r="H82" i="68"/>
  <c r="H78" i="68"/>
  <c r="H74" i="68"/>
  <c r="H70" i="68"/>
  <c r="E216" i="52" l="1"/>
  <c r="D29" i="75" s="1"/>
  <c r="S70" i="68"/>
  <c r="S91" i="68" s="1"/>
  <c r="C44" i="78"/>
  <c r="K43" i="78"/>
  <c r="O38" i="67"/>
  <c r="H7" i="60" s="1"/>
  <c r="P38" i="67"/>
  <c r="I7" i="60" s="1"/>
  <c r="Q38" i="67"/>
  <c r="J7" i="60" s="1"/>
  <c r="R38" i="67"/>
  <c r="K7" i="60" s="1"/>
  <c r="S38" i="67"/>
  <c r="M7" i="60" s="1"/>
  <c r="O39" i="67"/>
  <c r="H8" i="60" s="1"/>
  <c r="P39" i="67"/>
  <c r="I8" i="60" s="1"/>
  <c r="Q39" i="67"/>
  <c r="J8" i="60" s="1"/>
  <c r="R39" i="67"/>
  <c r="K8" i="60" s="1"/>
  <c r="S39" i="67"/>
  <c r="M8" i="60" s="1"/>
  <c r="O40" i="67"/>
  <c r="H9" i="60" s="1"/>
  <c r="P40" i="67"/>
  <c r="I9" i="60" s="1"/>
  <c r="Q40" i="67"/>
  <c r="J9" i="60" s="1"/>
  <c r="R40" i="67"/>
  <c r="K9" i="60" s="1"/>
  <c r="S40" i="67"/>
  <c r="M9" i="60" s="1"/>
  <c r="N39" i="67"/>
  <c r="N40" i="67"/>
  <c r="N38" i="67"/>
  <c r="C79" i="67"/>
  <c r="D79" i="67"/>
  <c r="E79" i="67"/>
  <c r="F79" i="67"/>
  <c r="D90" i="67" s="1"/>
  <c r="G79" i="67"/>
  <c r="H79" i="67"/>
  <c r="E90" i="67" s="1"/>
  <c r="I79" i="67"/>
  <c r="J79" i="67"/>
  <c r="K79" i="67"/>
  <c r="L79" i="67"/>
  <c r="M79" i="67"/>
  <c r="N79" i="67"/>
  <c r="H90" i="67" s="1"/>
  <c r="O79" i="67"/>
  <c r="C90" i="67"/>
  <c r="F90" i="67"/>
  <c r="G90" i="67"/>
  <c r="G92" i="67"/>
  <c r="C103" i="67"/>
  <c r="D103" i="67"/>
  <c r="E103" i="67"/>
  <c r="E112" i="67" s="1"/>
  <c r="F103" i="67"/>
  <c r="G103" i="67"/>
  <c r="H103" i="67"/>
  <c r="B107" i="67"/>
  <c r="C107" i="67"/>
  <c r="B108" i="67"/>
  <c r="E108" i="67" s="1"/>
  <c r="C108" i="67"/>
  <c r="D108" i="67"/>
  <c r="F108" i="67" s="1"/>
  <c r="F128" i="67" s="1"/>
  <c r="H108" i="67"/>
  <c r="H128" i="67" s="1"/>
  <c r="C112" i="67"/>
  <c r="D112" i="67"/>
  <c r="F112" i="67"/>
  <c r="G112" i="67"/>
  <c r="H112" i="67"/>
  <c r="C124" i="67"/>
  <c r="D124" i="67"/>
  <c r="D132" i="67" s="1"/>
  <c r="E124" i="67"/>
  <c r="F124" i="67"/>
  <c r="G124" i="67"/>
  <c r="H124" i="67"/>
  <c r="H132" i="67" s="1"/>
  <c r="B127" i="67"/>
  <c r="C127" i="67"/>
  <c r="B128" i="67"/>
  <c r="C128" i="67"/>
  <c r="D128" i="67" s="1"/>
  <c r="C132" i="67"/>
  <c r="E132" i="67"/>
  <c r="F132" i="67"/>
  <c r="G132" i="67"/>
  <c r="D7" i="70"/>
  <c r="AC54" i="70" s="1" a="1"/>
  <c r="D6" i="70"/>
  <c r="AC56" i="70" l="1"/>
  <c r="AC72" i="70"/>
  <c r="AC69" i="70"/>
  <c r="AC71" i="70"/>
  <c r="AC58" i="70"/>
  <c r="AC62" i="70"/>
  <c r="AC60" i="70"/>
  <c r="AC57" i="70"/>
  <c r="AC73" i="70"/>
  <c r="AC67" i="70"/>
  <c r="AC66" i="70"/>
  <c r="AC68" i="70"/>
  <c r="AC65" i="70"/>
  <c r="AC63" i="70"/>
  <c r="AC70" i="70"/>
  <c r="AC59" i="70"/>
  <c r="AC64" i="70"/>
  <c r="AC61" i="70"/>
  <c r="AC55" i="70"/>
  <c r="AC54" i="70"/>
  <c r="AC74" i="70"/>
  <c r="AB54" i="70" a="1"/>
  <c r="AA54" i="70" a="1"/>
  <c r="Z54" i="70" a="1"/>
  <c r="K44" i="78"/>
  <c r="C45" i="78"/>
  <c r="I11" i="60"/>
  <c r="X24" i="70"/>
  <c r="Y31" i="70"/>
  <c r="X17" i="70"/>
  <c r="W31" i="70"/>
  <c r="W17" i="70"/>
  <c r="Y24" i="70"/>
  <c r="X31" i="70"/>
  <c r="W24" i="70"/>
  <c r="Y17" i="70"/>
  <c r="N31" i="70"/>
  <c r="V24" i="70"/>
  <c r="O24" i="70"/>
  <c r="K24" i="70"/>
  <c r="R24" i="70"/>
  <c r="O17" i="70"/>
  <c r="M31" i="70"/>
  <c r="I31" i="70"/>
  <c r="H17" i="70"/>
  <c r="K17" i="70"/>
  <c r="G24" i="70"/>
  <c r="N24" i="70"/>
  <c r="R31" i="70"/>
  <c r="F31" i="70"/>
  <c r="J24" i="70"/>
  <c r="G17" i="70"/>
  <c r="U31" i="70"/>
  <c r="F24" i="70"/>
  <c r="J31" i="70"/>
  <c r="Q31" i="70"/>
  <c r="T17" i="70"/>
  <c r="P17" i="70"/>
  <c r="S17" i="70"/>
  <c r="V31" i="70"/>
  <c r="S24" i="70"/>
  <c r="L17" i="70"/>
  <c r="T24" i="70"/>
  <c r="H24" i="70"/>
  <c r="P31" i="70"/>
  <c r="K31" i="70"/>
  <c r="L31" i="70"/>
  <c r="O31" i="70"/>
  <c r="M17" i="70"/>
  <c r="V17" i="70"/>
  <c r="N17" i="70"/>
  <c r="R17" i="70"/>
  <c r="M24" i="70"/>
  <c r="G31" i="70"/>
  <c r="I17" i="70"/>
  <c r="Q17" i="70"/>
  <c r="H31" i="70"/>
  <c r="J17" i="70"/>
  <c r="U24" i="70"/>
  <c r="I24" i="70"/>
  <c r="U17" i="70"/>
  <c r="F17" i="70"/>
  <c r="F36" i="70" s="1"/>
  <c r="Q24" i="70"/>
  <c r="S31" i="70"/>
  <c r="L24" i="70"/>
  <c r="T31" i="70"/>
  <c r="P24" i="70"/>
  <c r="P55" i="70"/>
  <c r="P66" i="70"/>
  <c r="P64" i="70"/>
  <c r="P59" i="70"/>
  <c r="P58" i="70"/>
  <c r="P73" i="70"/>
  <c r="P69" i="70"/>
  <c r="P62" i="70"/>
  <c r="P67" i="70"/>
  <c r="P57" i="70"/>
  <c r="P70" i="70"/>
  <c r="P56" i="70"/>
  <c r="P68" i="70"/>
  <c r="P63" i="70"/>
  <c r="P60" i="70"/>
  <c r="P65" i="70"/>
  <c r="P74" i="70"/>
  <c r="P61" i="70"/>
  <c r="P72" i="70"/>
  <c r="P71" i="70"/>
  <c r="P54" i="70"/>
  <c r="Y43" i="70"/>
  <c r="W43" i="70"/>
  <c r="X43" i="70"/>
  <c r="J43" i="70"/>
  <c r="R43" i="70"/>
  <c r="F43" i="70"/>
  <c r="N43" i="70"/>
  <c r="I43" i="70"/>
  <c r="G43" i="70"/>
  <c r="H43" i="70"/>
  <c r="M43" i="70"/>
  <c r="V43" i="70"/>
  <c r="O43" i="70"/>
  <c r="U43" i="70"/>
  <c r="S43" i="70"/>
  <c r="L43" i="70"/>
  <c r="T43" i="70"/>
  <c r="P43" i="70"/>
  <c r="K43" i="70"/>
  <c r="Q43" i="70"/>
  <c r="Q62" i="70"/>
  <c r="Q63" i="70"/>
  <c r="Q74" i="70"/>
  <c r="Q54" i="70"/>
  <c r="Q55" i="70"/>
  <c r="Q57" i="70"/>
  <c r="Q68" i="70"/>
  <c r="Q70" i="70"/>
  <c r="Q69" i="70"/>
  <c r="Q58" i="70"/>
  <c r="Q59" i="70"/>
  <c r="Q61" i="70"/>
  <c r="Q60" i="70"/>
  <c r="Q56" i="70"/>
  <c r="Q73" i="70"/>
  <c r="Q72" i="70"/>
  <c r="Q65" i="70"/>
  <c r="Q64" i="70"/>
  <c r="Q66" i="70"/>
  <c r="Q67" i="70"/>
  <c r="Q71" i="70"/>
  <c r="K11" i="60"/>
  <c r="M11" i="60"/>
  <c r="H11" i="60"/>
  <c r="J11" i="60"/>
  <c r="H113" i="67"/>
  <c r="C113" i="67"/>
  <c r="J108" i="67"/>
  <c r="F113" i="67" s="1"/>
  <c r="E128" i="67"/>
  <c r="J128" i="67" s="1"/>
  <c r="E133" i="67" s="1"/>
  <c r="G113" i="67"/>
  <c r="G133" i="67"/>
  <c r="H133" i="67"/>
  <c r="E113" i="67"/>
  <c r="F133" i="67"/>
  <c r="D113" i="67"/>
  <c r="G108" i="67"/>
  <c r="G128" i="67" s="1"/>
  <c r="I108" i="67"/>
  <c r="I128" i="67" s="1"/>
  <c r="Z73" i="70" l="1"/>
  <c r="Z68" i="70"/>
  <c r="Z59" i="70"/>
  <c r="Z58" i="70"/>
  <c r="Z72" i="70"/>
  <c r="Z61" i="70"/>
  <c r="Z71" i="70"/>
  <c r="Z64" i="70"/>
  <c r="Z60" i="70"/>
  <c r="Z56" i="70"/>
  <c r="Z54" i="70"/>
  <c r="Z65" i="70"/>
  <c r="Z55" i="70"/>
  <c r="Z67" i="70"/>
  <c r="Z63" i="70"/>
  <c r="Z66" i="70"/>
  <c r="Z57" i="70"/>
  <c r="Z69" i="70"/>
  <c r="Z62" i="70"/>
  <c r="Z74" i="70"/>
  <c r="Z70" i="70"/>
  <c r="AA64" i="70"/>
  <c r="AA61" i="70"/>
  <c r="AA59" i="70"/>
  <c r="AA54" i="70"/>
  <c r="AA63" i="70"/>
  <c r="AA68" i="70"/>
  <c r="AA65" i="70"/>
  <c r="AA67" i="70"/>
  <c r="AA62" i="70"/>
  <c r="AA71" i="70"/>
  <c r="AA56" i="70"/>
  <c r="AA72" i="70"/>
  <c r="AA69" i="70"/>
  <c r="AA58" i="70"/>
  <c r="AA70" i="70"/>
  <c r="AA66" i="70"/>
  <c r="AA60" i="70"/>
  <c r="AA57" i="70"/>
  <c r="AA73" i="70"/>
  <c r="AA74" i="70"/>
  <c r="AA77" i="70" s="1"/>
  <c r="AA55" i="70"/>
  <c r="AB61" i="70"/>
  <c r="AB56" i="70"/>
  <c r="AB68" i="70"/>
  <c r="AB64" i="70"/>
  <c r="AB60" i="70"/>
  <c r="AB54" i="70"/>
  <c r="AB69" i="70"/>
  <c r="AB59" i="70"/>
  <c r="AB71" i="70"/>
  <c r="AB67" i="70"/>
  <c r="AB63" i="70"/>
  <c r="AB57" i="70"/>
  <c r="AB65" i="70"/>
  <c r="AB66" i="70"/>
  <c r="AB55" i="70"/>
  <c r="AB74" i="70"/>
  <c r="AB73" i="70"/>
  <c r="AB72" i="70"/>
  <c r="AB70" i="70"/>
  <c r="AB62" i="70"/>
  <c r="AB58" i="70"/>
  <c r="AC77" i="70"/>
  <c r="C46" i="78"/>
  <c r="K45" i="78"/>
  <c r="R56" i="70"/>
  <c r="R71" i="70"/>
  <c r="R65" i="70"/>
  <c r="R62" i="70"/>
  <c r="I36" i="70"/>
  <c r="I46" i="70" s="1"/>
  <c r="N36" i="70"/>
  <c r="N46" i="70" s="1"/>
  <c r="V36" i="70"/>
  <c r="V46" i="70" s="1"/>
  <c r="S36" i="70"/>
  <c r="S46" i="70" s="1"/>
  <c r="R36" i="70"/>
  <c r="R46" i="70" s="1"/>
  <c r="R60" i="70"/>
  <c r="R69" i="70"/>
  <c r="R55" i="70"/>
  <c r="F46" i="70"/>
  <c r="J36" i="70"/>
  <c r="J46" i="70" s="1"/>
  <c r="L36" i="70"/>
  <c r="L46" i="70" s="1"/>
  <c r="P36" i="70"/>
  <c r="P46" i="70" s="1"/>
  <c r="K36" i="70"/>
  <c r="K46" i="70" s="1"/>
  <c r="O36" i="70"/>
  <c r="O46" i="70" s="1"/>
  <c r="X36" i="70"/>
  <c r="X46" i="70" s="1"/>
  <c r="R59" i="70"/>
  <c r="R72" i="70"/>
  <c r="R70" i="70"/>
  <c r="R64" i="70"/>
  <c r="R61" i="70"/>
  <c r="R63" i="70"/>
  <c r="R57" i="70"/>
  <c r="R73" i="70"/>
  <c r="R66" i="70"/>
  <c r="U36" i="70"/>
  <c r="U46" i="70" s="1"/>
  <c r="M36" i="70"/>
  <c r="M46" i="70" s="1"/>
  <c r="T36" i="70"/>
  <c r="T46" i="70" s="1"/>
  <c r="H36" i="70"/>
  <c r="H46" i="70" s="1"/>
  <c r="R54" i="70"/>
  <c r="R74" i="70"/>
  <c r="R68" i="70"/>
  <c r="R67" i="70"/>
  <c r="R58" i="70"/>
  <c r="Q36" i="70"/>
  <c r="Q46" i="70" s="1"/>
  <c r="G36" i="70"/>
  <c r="G46" i="70" s="1"/>
  <c r="Y36" i="70"/>
  <c r="Y46" i="70" s="1"/>
  <c r="W36" i="70"/>
  <c r="W46" i="70" s="1"/>
  <c r="D133" i="67"/>
  <c r="C133" i="67"/>
  <c r="Z77" i="70" l="1"/>
  <c r="K234" i="52"/>
  <c r="AC78" i="70"/>
  <c r="Z78" i="70"/>
  <c r="K231" i="52"/>
  <c r="Z75" i="70"/>
  <c r="AB77" i="70"/>
  <c r="AA78" i="70"/>
  <c r="K232" i="52"/>
  <c r="C47" i="78"/>
  <c r="K47" i="78" s="1"/>
  <c r="K46" i="78"/>
  <c r="R76" i="70"/>
  <c r="R77" i="70" s="1"/>
  <c r="E58" i="60"/>
  <c r="AB78" i="70" l="1"/>
  <c r="K233" i="52"/>
  <c r="AA75" i="70"/>
  <c r="AB75" i="70"/>
  <c r="AC75" i="70"/>
  <c r="E50" i="60"/>
  <c r="E46" i="60"/>
  <c r="E42" i="60"/>
  <c r="E34" i="60"/>
  <c r="E26" i="60"/>
  <c r="E22" i="60"/>
  <c r="E18" i="60"/>
  <c r="E30" i="60" l="1"/>
  <c r="E37" i="49" l="1"/>
  <c r="E36" i="49"/>
  <c r="D16" i="72"/>
  <c r="D17" i="72"/>
  <c r="D18" i="72"/>
  <c r="D19" i="72"/>
  <c r="D7" i="72"/>
  <c r="D8" i="72"/>
  <c r="D9" i="72"/>
  <c r="D10" i="72"/>
  <c r="W30" i="54" l="1"/>
  <c r="X30" i="54"/>
  <c r="Y30" i="54"/>
  <c r="AB60" i="54" a="1"/>
  <c r="K30" i="54"/>
  <c r="H30" i="54"/>
  <c r="N30" i="54"/>
  <c r="T30" i="54"/>
  <c r="J30" i="54"/>
  <c r="I30" i="54"/>
  <c r="V30" i="54"/>
  <c r="P30" i="54"/>
  <c r="G30" i="54"/>
  <c r="F30" i="54"/>
  <c r="L30" i="54"/>
  <c r="U30" i="54"/>
  <c r="O30" i="54"/>
  <c r="M30" i="54"/>
  <c r="S30" i="54"/>
  <c r="Q30" i="54"/>
  <c r="R30" i="54"/>
  <c r="W24" i="54"/>
  <c r="Y24" i="54"/>
  <c r="X24" i="54"/>
  <c r="AA60" i="54" a="1"/>
  <c r="M24" i="54"/>
  <c r="L24" i="54"/>
  <c r="G24" i="54"/>
  <c r="J24" i="54"/>
  <c r="Q24" i="54"/>
  <c r="K24" i="54"/>
  <c r="I24" i="54"/>
  <c r="N24" i="54"/>
  <c r="H24" i="54"/>
  <c r="S24" i="54"/>
  <c r="F24" i="54"/>
  <c r="V24" i="54"/>
  <c r="U24" i="54"/>
  <c r="T24" i="54"/>
  <c r="R24" i="54"/>
  <c r="O24" i="54"/>
  <c r="P24" i="54"/>
  <c r="E24" i="54"/>
  <c r="E30" i="54"/>
  <c r="AB60" i="54" l="1"/>
  <c r="AB71" i="54"/>
  <c r="AB74" i="54"/>
  <c r="AB77" i="54"/>
  <c r="AB61" i="54"/>
  <c r="AB68" i="54"/>
  <c r="AB67" i="54"/>
  <c r="AB70" i="54"/>
  <c r="AB73" i="54"/>
  <c r="AB80" i="54"/>
  <c r="AB64" i="54"/>
  <c r="AB79" i="54"/>
  <c r="AB63" i="54"/>
  <c r="AB66" i="54"/>
  <c r="AB69" i="54"/>
  <c r="AB76" i="54"/>
  <c r="AB75" i="54"/>
  <c r="AB78" i="54"/>
  <c r="AB62" i="54"/>
  <c r="AB65" i="54"/>
  <c r="AB72" i="54"/>
  <c r="AA61" i="54"/>
  <c r="AA70" i="54"/>
  <c r="AA76" i="54"/>
  <c r="AA60" i="54"/>
  <c r="AA67" i="54"/>
  <c r="AA69" i="54"/>
  <c r="AA66" i="54"/>
  <c r="AA72" i="54"/>
  <c r="AA79" i="54"/>
  <c r="AA63" i="54"/>
  <c r="AA65" i="54"/>
  <c r="AA78" i="54"/>
  <c r="AA62" i="54"/>
  <c r="AA68" i="54"/>
  <c r="AA75" i="54"/>
  <c r="AA77" i="54"/>
  <c r="AA74" i="54"/>
  <c r="AA80" i="54"/>
  <c r="AA64" i="54"/>
  <c r="AA71" i="54"/>
  <c r="AA73" i="54"/>
  <c r="F154" i="74"/>
  <c r="G154" i="74"/>
  <c r="H154" i="74"/>
  <c r="I154" i="74"/>
  <c r="J154" i="74"/>
  <c r="K154" i="74"/>
  <c r="L154" i="74"/>
  <c r="M154" i="74"/>
  <c r="N154" i="74"/>
  <c r="O154" i="74"/>
  <c r="P154" i="74"/>
  <c r="Q154" i="74"/>
  <c r="R154" i="74"/>
  <c r="S154" i="74"/>
  <c r="T154" i="74"/>
  <c r="U154" i="74"/>
  <c r="V154" i="74"/>
  <c r="W154" i="74"/>
  <c r="F155" i="74"/>
  <c r="G155" i="74"/>
  <c r="H155" i="74"/>
  <c r="I155" i="74"/>
  <c r="J155" i="74"/>
  <c r="K155" i="74"/>
  <c r="L155" i="74"/>
  <c r="M155" i="74"/>
  <c r="N155" i="74"/>
  <c r="O155" i="74"/>
  <c r="P155" i="74"/>
  <c r="Q155" i="74"/>
  <c r="R155" i="74"/>
  <c r="S155" i="74"/>
  <c r="T155" i="74"/>
  <c r="U155" i="74"/>
  <c r="V155" i="74"/>
  <c r="W155" i="74"/>
  <c r="F156" i="74"/>
  <c r="G156" i="74"/>
  <c r="H156" i="74"/>
  <c r="I156" i="74"/>
  <c r="J156" i="74"/>
  <c r="K156" i="74"/>
  <c r="L156" i="74"/>
  <c r="M156" i="74"/>
  <c r="N156" i="74"/>
  <c r="O156" i="74"/>
  <c r="P156" i="74"/>
  <c r="Q156" i="74"/>
  <c r="R156" i="74"/>
  <c r="S156" i="74"/>
  <c r="T156" i="74"/>
  <c r="U156" i="74"/>
  <c r="V156" i="74"/>
  <c r="W156" i="74"/>
  <c r="G153" i="74"/>
  <c r="H153" i="74"/>
  <c r="I153" i="74"/>
  <c r="J153" i="74"/>
  <c r="K153" i="74"/>
  <c r="L153" i="74"/>
  <c r="M153" i="74"/>
  <c r="N153" i="74"/>
  <c r="O153" i="74"/>
  <c r="P153" i="74"/>
  <c r="Q153" i="74"/>
  <c r="R153" i="74"/>
  <c r="S153" i="74"/>
  <c r="T153" i="74"/>
  <c r="U153" i="74"/>
  <c r="V153" i="74"/>
  <c r="W153" i="74"/>
  <c r="F146" i="74"/>
  <c r="G146" i="74"/>
  <c r="H146" i="74"/>
  <c r="I146" i="74"/>
  <c r="J146" i="74"/>
  <c r="K146" i="74"/>
  <c r="L146" i="74"/>
  <c r="M146" i="74"/>
  <c r="N146" i="74"/>
  <c r="O146" i="74"/>
  <c r="P146" i="74"/>
  <c r="Q146" i="74"/>
  <c r="R146" i="74"/>
  <c r="S146" i="74"/>
  <c r="T146" i="74"/>
  <c r="U146" i="74"/>
  <c r="V146" i="74"/>
  <c r="W146" i="74"/>
  <c r="F147" i="74"/>
  <c r="G147" i="74"/>
  <c r="H147" i="74"/>
  <c r="I147" i="74"/>
  <c r="J147" i="74"/>
  <c r="K147" i="74"/>
  <c r="L147" i="74"/>
  <c r="M147" i="74"/>
  <c r="N147" i="74"/>
  <c r="O147" i="74"/>
  <c r="P147" i="74"/>
  <c r="Q147" i="74"/>
  <c r="R147" i="74"/>
  <c r="S147" i="74"/>
  <c r="T147" i="74"/>
  <c r="U147" i="74"/>
  <c r="V147" i="74"/>
  <c r="W147" i="74"/>
  <c r="F148" i="74"/>
  <c r="G148" i="74"/>
  <c r="H148" i="74"/>
  <c r="I148" i="74"/>
  <c r="J148" i="74"/>
  <c r="K148" i="74"/>
  <c r="L148" i="74"/>
  <c r="M148" i="74"/>
  <c r="N148" i="74"/>
  <c r="O148" i="74"/>
  <c r="P148" i="74"/>
  <c r="Q148" i="74"/>
  <c r="R148" i="74"/>
  <c r="S148" i="74"/>
  <c r="T148" i="74"/>
  <c r="U148" i="74"/>
  <c r="V148" i="74"/>
  <c r="W148" i="74"/>
  <c r="G145" i="74"/>
  <c r="H145" i="74"/>
  <c r="I145" i="74"/>
  <c r="J145" i="74"/>
  <c r="K145" i="74"/>
  <c r="L145" i="74"/>
  <c r="M145" i="74"/>
  <c r="N145" i="74"/>
  <c r="O145" i="74"/>
  <c r="P145" i="74"/>
  <c r="Q145" i="74"/>
  <c r="R145" i="74"/>
  <c r="S145" i="74"/>
  <c r="T145" i="74"/>
  <c r="U145" i="74"/>
  <c r="V145" i="74"/>
  <c r="W145" i="74"/>
  <c r="F153" i="74"/>
  <c r="F145" i="74"/>
  <c r="D17" i="56"/>
  <c r="D18" i="56"/>
  <c r="D19" i="56"/>
  <c r="D8" i="56"/>
  <c r="D9" i="56"/>
  <c r="D10" i="56"/>
  <c r="D16" i="56"/>
  <c r="D7" i="56"/>
  <c r="W56" i="74"/>
  <c r="V56" i="74"/>
  <c r="U56" i="74"/>
  <c r="T56" i="74"/>
  <c r="S56" i="74"/>
  <c r="R56" i="74"/>
  <c r="Q56" i="74"/>
  <c r="P56" i="74"/>
  <c r="O56" i="74"/>
  <c r="N56" i="74"/>
  <c r="M56" i="74"/>
  <c r="L56" i="74"/>
  <c r="K56" i="74"/>
  <c r="J56" i="74"/>
  <c r="I56" i="74"/>
  <c r="H56" i="74"/>
  <c r="G56" i="74"/>
  <c r="F56" i="74"/>
  <c r="W55" i="74"/>
  <c r="V55" i="74"/>
  <c r="U55" i="74"/>
  <c r="T55" i="74"/>
  <c r="S55" i="74"/>
  <c r="R55" i="74"/>
  <c r="Q55" i="74"/>
  <c r="P55" i="74"/>
  <c r="O55" i="74"/>
  <c r="N55" i="74"/>
  <c r="M55" i="74"/>
  <c r="L55" i="74"/>
  <c r="K55" i="74"/>
  <c r="J55" i="74"/>
  <c r="I55" i="74"/>
  <c r="H55" i="74"/>
  <c r="G55" i="74"/>
  <c r="F55" i="74"/>
  <c r="W54" i="74"/>
  <c r="V54" i="74"/>
  <c r="U54" i="74"/>
  <c r="T54" i="74"/>
  <c r="S54" i="74"/>
  <c r="R54" i="74"/>
  <c r="Q54" i="74"/>
  <c r="P54" i="74"/>
  <c r="O54" i="74"/>
  <c r="N54" i="74"/>
  <c r="M54" i="74"/>
  <c r="L54" i="74"/>
  <c r="K54" i="74"/>
  <c r="J54" i="74"/>
  <c r="I54" i="74"/>
  <c r="H54" i="74"/>
  <c r="G54" i="74"/>
  <c r="F54" i="74"/>
  <c r="W53" i="74"/>
  <c r="V53" i="74"/>
  <c r="U53" i="74"/>
  <c r="T53" i="74"/>
  <c r="S53" i="74"/>
  <c r="R53" i="74"/>
  <c r="Q53" i="74"/>
  <c r="P53" i="74"/>
  <c r="O53" i="74"/>
  <c r="N53" i="74"/>
  <c r="M53" i="74"/>
  <c r="L53" i="74"/>
  <c r="K53" i="74"/>
  <c r="J53" i="74"/>
  <c r="I53" i="74"/>
  <c r="H53" i="74"/>
  <c r="G53" i="74"/>
  <c r="F53" i="74"/>
  <c r="F30" i="74"/>
  <c r="D26" i="72" s="1"/>
  <c r="D41" i="72" s="1"/>
  <c r="G30" i="74"/>
  <c r="H30" i="74"/>
  <c r="I30" i="74"/>
  <c r="J30" i="74"/>
  <c r="K30" i="74"/>
  <c r="L30" i="74"/>
  <c r="M30" i="74"/>
  <c r="N30" i="74"/>
  <c r="O30" i="74"/>
  <c r="P30" i="74"/>
  <c r="Q30" i="74"/>
  <c r="R30" i="74"/>
  <c r="S30" i="74"/>
  <c r="T30" i="74"/>
  <c r="U30" i="74"/>
  <c r="V30" i="74"/>
  <c r="W30" i="74"/>
  <c r="F31" i="74"/>
  <c r="D27" i="72" s="1"/>
  <c r="D42" i="72" s="1"/>
  <c r="G31" i="74"/>
  <c r="H31" i="74"/>
  <c r="I31" i="74"/>
  <c r="J31" i="74"/>
  <c r="K31" i="74"/>
  <c r="L31" i="74"/>
  <c r="M31" i="74"/>
  <c r="N31" i="74"/>
  <c r="O31" i="74"/>
  <c r="P31" i="74"/>
  <c r="Q31" i="74"/>
  <c r="R31" i="74"/>
  <c r="S31" i="74"/>
  <c r="T31" i="74"/>
  <c r="U31" i="74"/>
  <c r="V31" i="74"/>
  <c r="W31" i="74"/>
  <c r="F32" i="74"/>
  <c r="D28" i="72" s="1"/>
  <c r="D43" i="72" s="1"/>
  <c r="G32" i="74"/>
  <c r="H32" i="74"/>
  <c r="I32" i="74"/>
  <c r="J32" i="74"/>
  <c r="K32" i="74"/>
  <c r="L32" i="74"/>
  <c r="M32" i="74"/>
  <c r="N32" i="74"/>
  <c r="O32" i="74"/>
  <c r="P32" i="74"/>
  <c r="Q32" i="74"/>
  <c r="R32" i="74"/>
  <c r="S32" i="74"/>
  <c r="T32" i="74"/>
  <c r="U32" i="74"/>
  <c r="V32" i="74"/>
  <c r="W32" i="74"/>
  <c r="G29" i="74"/>
  <c r="H29" i="74"/>
  <c r="I29" i="74"/>
  <c r="J29" i="74"/>
  <c r="K29" i="74"/>
  <c r="L29" i="74"/>
  <c r="M29" i="74"/>
  <c r="N29" i="74"/>
  <c r="O29" i="74"/>
  <c r="P29" i="74"/>
  <c r="Q29" i="74"/>
  <c r="R29" i="74"/>
  <c r="S29" i="74"/>
  <c r="T29" i="74"/>
  <c r="U29" i="74"/>
  <c r="V29" i="74"/>
  <c r="W29" i="74"/>
  <c r="F29" i="74"/>
  <c r="D25" i="72" s="1"/>
  <c r="D40" i="72" s="1"/>
  <c r="P25" i="72" l="1"/>
  <c r="P40" i="72" s="1"/>
  <c r="P24" i="56"/>
  <c r="H25" i="72"/>
  <c r="H40" i="72" s="1"/>
  <c r="H24" i="56"/>
  <c r="M28" i="72"/>
  <c r="M43" i="72" s="1"/>
  <c r="M27" i="56"/>
  <c r="E28" i="72"/>
  <c r="E43" i="72" s="1"/>
  <c r="E27" i="56"/>
  <c r="G26" i="56"/>
  <c r="G27" i="72"/>
  <c r="G42" i="72" s="1"/>
  <c r="M26" i="72"/>
  <c r="M41" i="72" s="1"/>
  <c r="M25" i="56"/>
  <c r="R26" i="56"/>
  <c r="R27" i="72"/>
  <c r="R42" i="72" s="1"/>
  <c r="N27" i="72"/>
  <c r="N42" i="72" s="1"/>
  <c r="N26" i="56"/>
  <c r="J26" i="56"/>
  <c r="J27" i="72"/>
  <c r="J42" i="72" s="1"/>
  <c r="F27" i="72"/>
  <c r="F42" i="72" s="1"/>
  <c r="F26" i="56"/>
  <c r="T26" i="72"/>
  <c r="T41" i="72" s="1"/>
  <c r="T25" i="56"/>
  <c r="P26" i="72"/>
  <c r="P41" i="72" s="1"/>
  <c r="P25" i="56"/>
  <c r="L26" i="72"/>
  <c r="L41" i="72" s="1"/>
  <c r="L25" i="56"/>
  <c r="H26" i="72"/>
  <c r="H41" i="72" s="1"/>
  <c r="H25" i="56"/>
  <c r="L25" i="72"/>
  <c r="L40" i="72" s="1"/>
  <c r="L24" i="56"/>
  <c r="Q28" i="72"/>
  <c r="Q43" i="72" s="1"/>
  <c r="Q27" i="56"/>
  <c r="S26" i="56"/>
  <c r="S27" i="72"/>
  <c r="S42" i="72" s="1"/>
  <c r="U26" i="72"/>
  <c r="U41" i="72" s="1"/>
  <c r="U25" i="56"/>
  <c r="I26" i="72"/>
  <c r="I41" i="72" s="1"/>
  <c r="I25" i="56"/>
  <c r="J24" i="56"/>
  <c r="J25" i="72"/>
  <c r="J40" i="72" s="1"/>
  <c r="S27" i="56"/>
  <c r="S28" i="72"/>
  <c r="S43" i="72" s="1"/>
  <c r="K27" i="56"/>
  <c r="K28" i="72"/>
  <c r="K43" i="72" s="1"/>
  <c r="G27" i="56"/>
  <c r="G28" i="72"/>
  <c r="G43" i="72" s="1"/>
  <c r="U27" i="72"/>
  <c r="U42" i="72" s="1"/>
  <c r="U26" i="56"/>
  <c r="Q27" i="72"/>
  <c r="Q42" i="72" s="1"/>
  <c r="Q26" i="56"/>
  <c r="M27" i="72"/>
  <c r="M42" i="72" s="1"/>
  <c r="M26" i="56"/>
  <c r="I27" i="72"/>
  <c r="I42" i="72" s="1"/>
  <c r="I26" i="56"/>
  <c r="E27" i="72"/>
  <c r="E42" i="72" s="1"/>
  <c r="E26" i="56"/>
  <c r="S25" i="56"/>
  <c r="S26" i="72"/>
  <c r="S41" i="72" s="1"/>
  <c r="O25" i="56"/>
  <c r="O26" i="72"/>
  <c r="O41" i="72" s="1"/>
  <c r="K25" i="56"/>
  <c r="K26" i="72"/>
  <c r="K41" i="72" s="1"/>
  <c r="G25" i="56"/>
  <c r="G26" i="72"/>
  <c r="G41" i="72" s="1"/>
  <c r="T25" i="72"/>
  <c r="T40" i="72" s="1"/>
  <c r="T24" i="56"/>
  <c r="U28" i="72"/>
  <c r="U43" i="72" s="1"/>
  <c r="U27" i="56"/>
  <c r="I28" i="72"/>
  <c r="I43" i="72" s="1"/>
  <c r="I27" i="56"/>
  <c r="O26" i="56"/>
  <c r="O27" i="72"/>
  <c r="O42" i="72" s="1"/>
  <c r="K26" i="56"/>
  <c r="K27" i="72"/>
  <c r="K42" i="72" s="1"/>
  <c r="Q26" i="72"/>
  <c r="Q41" i="72" s="1"/>
  <c r="Q25" i="56"/>
  <c r="E26" i="72"/>
  <c r="E41" i="72" s="1"/>
  <c r="E25" i="56"/>
  <c r="S24" i="56"/>
  <c r="S25" i="72"/>
  <c r="S40" i="72" s="1"/>
  <c r="O24" i="56"/>
  <c r="O25" i="72"/>
  <c r="O40" i="72" s="1"/>
  <c r="K24" i="56"/>
  <c r="K25" i="72"/>
  <c r="K40" i="72" s="1"/>
  <c r="G24" i="56"/>
  <c r="G25" i="72"/>
  <c r="G40" i="72" s="1"/>
  <c r="T28" i="72"/>
  <c r="T43" i="72" s="1"/>
  <c r="T27" i="56"/>
  <c r="P28" i="72"/>
  <c r="P43" i="72" s="1"/>
  <c r="P27" i="56"/>
  <c r="L28" i="72"/>
  <c r="L43" i="72" s="1"/>
  <c r="L27" i="56"/>
  <c r="H28" i="72"/>
  <c r="H43" i="72" s="1"/>
  <c r="H27" i="56"/>
  <c r="R24" i="56"/>
  <c r="R25" i="72"/>
  <c r="R40" i="72" s="1"/>
  <c r="N25" i="72"/>
  <c r="N40" i="72" s="1"/>
  <c r="N24" i="56"/>
  <c r="F25" i="72"/>
  <c r="F40" i="72" s="1"/>
  <c r="F24" i="56"/>
  <c r="O27" i="56"/>
  <c r="O28" i="72"/>
  <c r="O43" i="72" s="1"/>
  <c r="U25" i="72"/>
  <c r="U40" i="72" s="1"/>
  <c r="U24" i="56"/>
  <c r="Q25" i="72"/>
  <c r="Q40" i="72" s="1"/>
  <c r="Q24" i="56"/>
  <c r="M25" i="72"/>
  <c r="M40" i="72" s="1"/>
  <c r="M24" i="56"/>
  <c r="I25" i="72"/>
  <c r="I40" i="72" s="1"/>
  <c r="I24" i="56"/>
  <c r="E25" i="72"/>
  <c r="E40" i="72" s="1"/>
  <c r="E24" i="56"/>
  <c r="R28" i="72"/>
  <c r="R43" i="72" s="1"/>
  <c r="R27" i="56"/>
  <c r="N27" i="56"/>
  <c r="N28" i="72"/>
  <c r="N43" i="72" s="1"/>
  <c r="J28" i="72"/>
  <c r="J43" i="72" s="1"/>
  <c r="J27" i="56"/>
  <c r="F27" i="56"/>
  <c r="F28" i="72"/>
  <c r="F43" i="72" s="1"/>
  <c r="T27" i="72"/>
  <c r="T42" i="72" s="1"/>
  <c r="T26" i="56"/>
  <c r="P27" i="72"/>
  <c r="P42" i="72" s="1"/>
  <c r="P26" i="56"/>
  <c r="L27" i="72"/>
  <c r="L42" i="72" s="1"/>
  <c r="L26" i="56"/>
  <c r="H27" i="72"/>
  <c r="H42" i="72" s="1"/>
  <c r="H26" i="56"/>
  <c r="R26" i="72"/>
  <c r="R41" i="72" s="1"/>
  <c r="R25" i="56"/>
  <c r="N25" i="56"/>
  <c r="N26" i="72"/>
  <c r="N41" i="72" s="1"/>
  <c r="J26" i="72"/>
  <c r="J41" i="72" s="1"/>
  <c r="J25" i="56"/>
  <c r="F25" i="56"/>
  <c r="F26" i="72"/>
  <c r="F41" i="72" s="1"/>
  <c r="AA83" i="54"/>
  <c r="AB83" i="54"/>
  <c r="K229" i="52" s="1"/>
  <c r="AA81" i="54"/>
  <c r="AB81" i="54"/>
  <c r="I31" i="72"/>
  <c r="I47" i="72" s="1"/>
  <c r="I31" i="56"/>
  <c r="Q31" i="72"/>
  <c r="Q47" i="72" s="1"/>
  <c r="Q31" i="56"/>
  <c r="G32" i="56"/>
  <c r="G32" i="72"/>
  <c r="G48" i="72" s="1"/>
  <c r="O32" i="56"/>
  <c r="O32" i="72"/>
  <c r="O48" i="72" s="1"/>
  <c r="S32" i="72"/>
  <c r="S48" i="72" s="1"/>
  <c r="S32" i="56"/>
  <c r="I33" i="72"/>
  <c r="I49" i="72" s="1"/>
  <c r="I33" i="56"/>
  <c r="Q33" i="72"/>
  <c r="Q49" i="72" s="1"/>
  <c r="Q33" i="56"/>
  <c r="K34" i="56"/>
  <c r="K34" i="72"/>
  <c r="K50" i="72" s="1"/>
  <c r="S34" i="72"/>
  <c r="S50" i="72" s="1"/>
  <c r="S34" i="56"/>
  <c r="J31" i="56"/>
  <c r="J31" i="72"/>
  <c r="J47" i="72" s="1"/>
  <c r="R31" i="56"/>
  <c r="R31" i="72"/>
  <c r="R47" i="72" s="1"/>
  <c r="H32" i="56"/>
  <c r="H32" i="72"/>
  <c r="H48" i="72" s="1"/>
  <c r="P32" i="72"/>
  <c r="P48" i="72" s="1"/>
  <c r="P32" i="56"/>
  <c r="T32" i="56"/>
  <c r="T32" i="72"/>
  <c r="T48" i="72" s="1"/>
  <c r="J33" i="56"/>
  <c r="J33" i="72"/>
  <c r="J49" i="72" s="1"/>
  <c r="N33" i="56"/>
  <c r="N33" i="72"/>
  <c r="N49" i="72" s="1"/>
  <c r="H34" i="56"/>
  <c r="H34" i="72"/>
  <c r="H50" i="72" s="1"/>
  <c r="L34" i="56"/>
  <c r="L34" i="72"/>
  <c r="L50" i="72" s="1"/>
  <c r="P34" i="56"/>
  <c r="P34" i="72"/>
  <c r="P50" i="72" s="1"/>
  <c r="T34" i="56"/>
  <c r="T34" i="72"/>
  <c r="T50" i="72" s="1"/>
  <c r="G31" i="56"/>
  <c r="G31" i="72"/>
  <c r="G47" i="72" s="1"/>
  <c r="K31" i="56"/>
  <c r="K31" i="72"/>
  <c r="K47" i="72" s="1"/>
  <c r="S31" i="56"/>
  <c r="S31" i="72"/>
  <c r="S47" i="72" s="1"/>
  <c r="E32" i="72"/>
  <c r="E48" i="72" s="1"/>
  <c r="E32" i="56"/>
  <c r="M32" i="72"/>
  <c r="M48" i="72" s="1"/>
  <c r="M32" i="56"/>
  <c r="Q32" i="56"/>
  <c r="Q32" i="72"/>
  <c r="Q48" i="72" s="1"/>
  <c r="G33" i="56"/>
  <c r="G33" i="72"/>
  <c r="G49" i="72" s="1"/>
  <c r="O33" i="56"/>
  <c r="O33" i="72"/>
  <c r="O49" i="72" s="1"/>
  <c r="I34" i="56"/>
  <c r="I34" i="72"/>
  <c r="I50" i="72" s="1"/>
  <c r="H31" i="56"/>
  <c r="H31" i="72"/>
  <c r="H47" i="72" s="1"/>
  <c r="L31" i="56"/>
  <c r="L31" i="72"/>
  <c r="L47" i="72" s="1"/>
  <c r="P31" i="56"/>
  <c r="P31" i="72"/>
  <c r="P47" i="72" s="1"/>
  <c r="T31" i="56"/>
  <c r="T31" i="72"/>
  <c r="T47" i="72" s="1"/>
  <c r="F32" i="56"/>
  <c r="F32" i="72"/>
  <c r="F48" i="72" s="1"/>
  <c r="J32" i="56"/>
  <c r="J32" i="72"/>
  <c r="J48" i="72" s="1"/>
  <c r="N32" i="56"/>
  <c r="N32" i="72"/>
  <c r="N48" i="72" s="1"/>
  <c r="R32" i="56"/>
  <c r="R32" i="72"/>
  <c r="R48" i="72" s="1"/>
  <c r="H33" i="56"/>
  <c r="H33" i="72"/>
  <c r="H49" i="72" s="1"/>
  <c r="L33" i="56"/>
  <c r="L33" i="72"/>
  <c r="L49" i="72" s="1"/>
  <c r="P33" i="56"/>
  <c r="P33" i="72"/>
  <c r="P49" i="72" s="1"/>
  <c r="T33" i="72"/>
  <c r="T49" i="72" s="1"/>
  <c r="T33" i="56"/>
  <c r="F34" i="56"/>
  <c r="F34" i="72"/>
  <c r="F50" i="72" s="1"/>
  <c r="J34" i="56"/>
  <c r="J34" i="72"/>
  <c r="J50" i="72" s="1"/>
  <c r="N34" i="56"/>
  <c r="N34" i="72"/>
  <c r="N50" i="72" s="1"/>
  <c r="R34" i="56"/>
  <c r="R34" i="72"/>
  <c r="R50" i="72" s="1"/>
  <c r="E31" i="56"/>
  <c r="E31" i="72"/>
  <c r="E47" i="72" s="1"/>
  <c r="M31" i="72"/>
  <c r="M47" i="72" s="1"/>
  <c r="M31" i="56"/>
  <c r="U31" i="56"/>
  <c r="U31" i="72"/>
  <c r="U47" i="72" s="1"/>
  <c r="K32" i="56"/>
  <c r="K32" i="72"/>
  <c r="K48" i="72" s="1"/>
  <c r="E33" i="72"/>
  <c r="E49" i="72" s="1"/>
  <c r="E33" i="56"/>
  <c r="M33" i="56"/>
  <c r="M33" i="72"/>
  <c r="M49" i="72" s="1"/>
  <c r="U33" i="72"/>
  <c r="U49" i="72" s="1"/>
  <c r="U33" i="56"/>
  <c r="G34" i="72"/>
  <c r="G50" i="72" s="1"/>
  <c r="G34" i="56"/>
  <c r="O34" i="56"/>
  <c r="O34" i="72"/>
  <c r="O50" i="72" s="1"/>
  <c r="F31" i="56"/>
  <c r="F31" i="72"/>
  <c r="F47" i="72" s="1"/>
  <c r="N31" i="56"/>
  <c r="N31" i="72"/>
  <c r="N47" i="72" s="1"/>
  <c r="L32" i="56"/>
  <c r="L32" i="72"/>
  <c r="L48" i="72" s="1"/>
  <c r="F33" i="56"/>
  <c r="F33" i="72"/>
  <c r="F49" i="72" s="1"/>
  <c r="R33" i="56"/>
  <c r="R33" i="72"/>
  <c r="R49" i="72" s="1"/>
  <c r="O31" i="56"/>
  <c r="O31" i="72"/>
  <c r="O47" i="72" s="1"/>
  <c r="I32" i="72"/>
  <c r="I48" i="72" s="1"/>
  <c r="I32" i="56"/>
  <c r="U32" i="72"/>
  <c r="U48" i="72" s="1"/>
  <c r="U32" i="56"/>
  <c r="K33" i="56"/>
  <c r="K33" i="72"/>
  <c r="K49" i="72" s="1"/>
  <c r="S33" i="56"/>
  <c r="S33" i="72"/>
  <c r="S49" i="72" s="1"/>
  <c r="E34" i="72"/>
  <c r="E50" i="72" s="1"/>
  <c r="E34" i="56"/>
  <c r="M34" i="72"/>
  <c r="M50" i="72" s="1"/>
  <c r="M34" i="56"/>
  <c r="Q34" i="72"/>
  <c r="Q50" i="72" s="1"/>
  <c r="Q34" i="56"/>
  <c r="U34" i="72"/>
  <c r="U50" i="72" s="1"/>
  <c r="U34" i="56"/>
  <c r="X59" i="56"/>
  <c r="D32" i="56"/>
  <c r="D32" i="72"/>
  <c r="D48" i="72" s="1"/>
  <c r="D34" i="56"/>
  <c r="D34" i="72"/>
  <c r="D50" i="72" s="1"/>
  <c r="W59" i="56"/>
  <c r="V61" i="56"/>
  <c r="X60" i="56"/>
  <c r="D26" i="56"/>
  <c r="V59" i="56"/>
  <c r="D27" i="56"/>
  <c r="W60" i="56"/>
  <c r="D25" i="56"/>
  <c r="W61" i="56"/>
  <c r="D31" i="56"/>
  <c r="D31" i="72"/>
  <c r="D47" i="72" s="1"/>
  <c r="D33" i="56"/>
  <c r="D33" i="72"/>
  <c r="D49" i="72" s="1"/>
  <c r="D24" i="56"/>
  <c r="X61" i="56"/>
  <c r="V60" i="56"/>
  <c r="F41" i="74"/>
  <c r="G41" i="74"/>
  <c r="H41" i="74"/>
  <c r="I41" i="74"/>
  <c r="J41" i="74"/>
  <c r="K41" i="74"/>
  <c r="L41" i="74"/>
  <c r="M41" i="74"/>
  <c r="N41" i="74"/>
  <c r="O41" i="74"/>
  <c r="P41" i="74"/>
  <c r="Q41" i="74"/>
  <c r="R41" i="74"/>
  <c r="S41" i="74"/>
  <c r="T41" i="74"/>
  <c r="U41" i="74"/>
  <c r="V41" i="74"/>
  <c r="W41" i="74"/>
  <c r="F49" i="74"/>
  <c r="F97" i="74" s="1"/>
  <c r="G49" i="74"/>
  <c r="G97" i="74" s="1"/>
  <c r="H49" i="74"/>
  <c r="H97" i="74" s="1"/>
  <c r="I49" i="74"/>
  <c r="I97" i="74" s="1"/>
  <c r="J49" i="74"/>
  <c r="J97" i="74" s="1"/>
  <c r="K49" i="74"/>
  <c r="K97" i="74" s="1"/>
  <c r="L49" i="74"/>
  <c r="L97" i="74" s="1"/>
  <c r="M49" i="74"/>
  <c r="M97" i="74" s="1"/>
  <c r="N49" i="74"/>
  <c r="N97" i="74" s="1"/>
  <c r="O49" i="74"/>
  <c r="O97" i="74" s="1"/>
  <c r="P49" i="74"/>
  <c r="P97" i="74" s="1"/>
  <c r="Q49" i="74"/>
  <c r="Q97" i="74" s="1"/>
  <c r="R49" i="74"/>
  <c r="R97" i="74" s="1"/>
  <c r="S49" i="74"/>
  <c r="S97" i="74" s="1"/>
  <c r="T49" i="74"/>
  <c r="T97" i="74" s="1"/>
  <c r="U49" i="74"/>
  <c r="U97" i="74" s="1"/>
  <c r="V49" i="74"/>
  <c r="V97" i="74" s="1"/>
  <c r="W49" i="74"/>
  <c r="W97" i="74" s="1"/>
  <c r="W16" i="74"/>
  <c r="W89" i="74" s="1"/>
  <c r="V16" i="74"/>
  <c r="V89" i="74" s="1"/>
  <c r="U16" i="74"/>
  <c r="U89" i="74" s="1"/>
  <c r="T16" i="74"/>
  <c r="T89" i="74" s="1"/>
  <c r="S16" i="74"/>
  <c r="S89" i="74" s="1"/>
  <c r="R16" i="74"/>
  <c r="R89" i="74" s="1"/>
  <c r="Q16" i="74"/>
  <c r="Q89" i="74" s="1"/>
  <c r="P16" i="74"/>
  <c r="P89" i="74" s="1"/>
  <c r="O16" i="74"/>
  <c r="O89" i="74" s="1"/>
  <c r="N16" i="74"/>
  <c r="N89" i="74" s="1"/>
  <c r="M16" i="74"/>
  <c r="M89" i="74" s="1"/>
  <c r="L16" i="74"/>
  <c r="L89" i="74" s="1"/>
  <c r="K16" i="74"/>
  <c r="K89" i="74" s="1"/>
  <c r="J16" i="74"/>
  <c r="J89" i="74" s="1"/>
  <c r="I16" i="74"/>
  <c r="I89" i="74" s="1"/>
  <c r="H16" i="74"/>
  <c r="H89" i="74" s="1"/>
  <c r="G16" i="74"/>
  <c r="G89" i="74" s="1"/>
  <c r="F16" i="74"/>
  <c r="F89" i="74" s="1"/>
  <c r="G8" i="74"/>
  <c r="H8" i="74"/>
  <c r="I8" i="74"/>
  <c r="J8" i="74"/>
  <c r="K8" i="74"/>
  <c r="L8" i="74"/>
  <c r="M8" i="74"/>
  <c r="N8" i="74"/>
  <c r="O8" i="74"/>
  <c r="P8" i="74"/>
  <c r="Q8" i="74"/>
  <c r="R8" i="74"/>
  <c r="S8" i="74"/>
  <c r="T8" i="74"/>
  <c r="U8" i="74"/>
  <c r="V8" i="74"/>
  <c r="W8" i="74"/>
  <c r="F8" i="74"/>
  <c r="F73" i="74" s="1"/>
  <c r="D53" i="72" s="1"/>
  <c r="E121" i="2"/>
  <c r="E32" i="2"/>
  <c r="E15" i="2"/>
  <c r="K33" i="36"/>
  <c r="K32" i="36"/>
  <c r="K31" i="36"/>
  <c r="K30" i="36"/>
  <c r="K29" i="36"/>
  <c r="K28" i="36"/>
  <c r="K27" i="36"/>
  <c r="K26" i="36"/>
  <c r="K25" i="36"/>
  <c r="K24" i="36"/>
  <c r="K23" i="36"/>
  <c r="K22" i="36"/>
  <c r="D34" i="36"/>
  <c r="D33" i="36"/>
  <c r="AA84" i="54" l="1"/>
  <c r="K228" i="52"/>
  <c r="H298" i="56"/>
  <c r="H317" i="56" s="1"/>
  <c r="H237" i="56"/>
  <c r="H255" i="56" s="1"/>
  <c r="H172" i="56"/>
  <c r="H190" i="56" s="1"/>
  <c r="H108" i="56"/>
  <c r="H126" i="56" s="1"/>
  <c r="H43" i="56"/>
  <c r="H61" i="56" s="1"/>
  <c r="P298" i="56"/>
  <c r="P237" i="56"/>
  <c r="P172" i="56"/>
  <c r="P108" i="56"/>
  <c r="P43" i="56"/>
  <c r="P61" i="56" s="1"/>
  <c r="E235" i="56"/>
  <c r="E106" i="56"/>
  <c r="E41" i="56"/>
  <c r="E59" i="56" s="1"/>
  <c r="E296" i="56"/>
  <c r="E170" i="56"/>
  <c r="M296" i="56"/>
  <c r="M235" i="56"/>
  <c r="M106" i="56"/>
  <c r="M41" i="56"/>
  <c r="M59" i="56" s="1"/>
  <c r="M170" i="56"/>
  <c r="U170" i="56"/>
  <c r="U235" i="56"/>
  <c r="U106" i="56"/>
  <c r="U41" i="56"/>
  <c r="U59" i="56" s="1"/>
  <c r="U296" i="56"/>
  <c r="F296" i="56"/>
  <c r="F315" i="56" s="1"/>
  <c r="F170" i="56"/>
  <c r="F188" i="56" s="1"/>
  <c r="F41" i="56"/>
  <c r="F59" i="56" s="1"/>
  <c r="F235" i="56"/>
  <c r="F253" i="56" s="1"/>
  <c r="F106" i="56"/>
  <c r="F124" i="56" s="1"/>
  <c r="L299" i="56"/>
  <c r="L173" i="56"/>
  <c r="L44" i="56"/>
  <c r="L62" i="56" s="1"/>
  <c r="L238" i="56"/>
  <c r="L109" i="56"/>
  <c r="T299" i="56"/>
  <c r="T173" i="56"/>
  <c r="T44" i="56"/>
  <c r="T62" i="56" s="1"/>
  <c r="T109" i="56"/>
  <c r="T238" i="56"/>
  <c r="Q297" i="56"/>
  <c r="Q236" i="56"/>
  <c r="Q171" i="56"/>
  <c r="Q107" i="56"/>
  <c r="Q42" i="56"/>
  <c r="Q60" i="56" s="1"/>
  <c r="U299" i="56"/>
  <c r="U238" i="56"/>
  <c r="U173" i="56"/>
  <c r="U109" i="56"/>
  <c r="U44" i="56"/>
  <c r="U62" i="56" s="1"/>
  <c r="E298" i="56"/>
  <c r="E172" i="56"/>
  <c r="E237" i="56"/>
  <c r="E108" i="56"/>
  <c r="E43" i="56"/>
  <c r="E61" i="56" s="1"/>
  <c r="M108" i="56"/>
  <c r="M298" i="56"/>
  <c r="M172" i="56"/>
  <c r="M43" i="56"/>
  <c r="M61" i="56" s="1"/>
  <c r="M237" i="56"/>
  <c r="U237" i="56"/>
  <c r="U298" i="56"/>
  <c r="U172" i="56"/>
  <c r="U43" i="56"/>
  <c r="U61" i="56" s="1"/>
  <c r="U108" i="56"/>
  <c r="U297" i="56"/>
  <c r="U236" i="56"/>
  <c r="U171" i="56"/>
  <c r="U107" i="56"/>
  <c r="U42" i="56"/>
  <c r="U60" i="56" s="1"/>
  <c r="Q299" i="56"/>
  <c r="Q238" i="56"/>
  <c r="Q173" i="56"/>
  <c r="Q109" i="56"/>
  <c r="Q44" i="56"/>
  <c r="Q62" i="56" s="1"/>
  <c r="H297" i="56"/>
  <c r="H316" i="56" s="1"/>
  <c r="H171" i="56"/>
  <c r="H189" i="56" s="1"/>
  <c r="H42" i="56"/>
  <c r="H60" i="56" s="1"/>
  <c r="H107" i="56"/>
  <c r="H125" i="56" s="1"/>
  <c r="H236" i="56"/>
  <c r="H254" i="56" s="1"/>
  <c r="P297" i="56"/>
  <c r="P171" i="56"/>
  <c r="P42" i="56"/>
  <c r="P60" i="56" s="1"/>
  <c r="P236" i="56"/>
  <c r="P107" i="56"/>
  <c r="F108" i="56"/>
  <c r="F126" i="56" s="1"/>
  <c r="F298" i="56"/>
  <c r="F317" i="56" s="1"/>
  <c r="F172" i="56"/>
  <c r="F190" i="56" s="1"/>
  <c r="F43" i="56"/>
  <c r="F61" i="56" s="1"/>
  <c r="F237" i="56"/>
  <c r="F255" i="56" s="1"/>
  <c r="N298" i="56"/>
  <c r="N172" i="56"/>
  <c r="N43" i="56"/>
  <c r="N61" i="56" s="1"/>
  <c r="N237" i="56"/>
  <c r="N108" i="56"/>
  <c r="M297" i="56"/>
  <c r="M236" i="56"/>
  <c r="M171" i="56"/>
  <c r="M107" i="56"/>
  <c r="M42" i="56"/>
  <c r="M60" i="56" s="1"/>
  <c r="E299" i="56"/>
  <c r="E173" i="56"/>
  <c r="E238" i="56"/>
  <c r="E109" i="56"/>
  <c r="E44" i="56"/>
  <c r="E62" i="56" s="1"/>
  <c r="H296" i="56"/>
  <c r="H315" i="56" s="1"/>
  <c r="H235" i="56"/>
  <c r="H253" i="56" s="1"/>
  <c r="H170" i="56"/>
  <c r="H188" i="56" s="1"/>
  <c r="H106" i="56"/>
  <c r="H124" i="56" s="1"/>
  <c r="H41" i="56"/>
  <c r="H59" i="56" s="1"/>
  <c r="D296" i="56"/>
  <c r="D315" i="56" s="1"/>
  <c r="D170" i="56"/>
  <c r="D188" i="56" s="1"/>
  <c r="D106" i="56"/>
  <c r="D124" i="56" s="1"/>
  <c r="D41" i="56"/>
  <c r="D59" i="56" s="1"/>
  <c r="D235" i="56"/>
  <c r="D253" i="56" s="1"/>
  <c r="F297" i="56"/>
  <c r="F316" i="56" s="1"/>
  <c r="F236" i="56"/>
  <c r="F254" i="56" s="1"/>
  <c r="F171" i="56"/>
  <c r="F189" i="56" s="1"/>
  <c r="F107" i="56"/>
  <c r="F125" i="56" s="1"/>
  <c r="F42" i="56"/>
  <c r="F60" i="56" s="1"/>
  <c r="N297" i="56"/>
  <c r="N236" i="56"/>
  <c r="N171" i="56"/>
  <c r="N107" i="56"/>
  <c r="N42" i="56"/>
  <c r="N60" i="56" s="1"/>
  <c r="F299" i="56"/>
  <c r="F318" i="56" s="1"/>
  <c r="F238" i="56"/>
  <c r="F256" i="56" s="1"/>
  <c r="F173" i="56"/>
  <c r="F191" i="56" s="1"/>
  <c r="F109" i="56"/>
  <c r="F127" i="56" s="1"/>
  <c r="F44" i="56"/>
  <c r="F62" i="56" s="1"/>
  <c r="N299" i="56"/>
  <c r="N238" i="56"/>
  <c r="N173" i="56"/>
  <c r="N109" i="56"/>
  <c r="N44" i="56"/>
  <c r="N62" i="56" s="1"/>
  <c r="R296" i="56"/>
  <c r="R170" i="56"/>
  <c r="R41" i="56"/>
  <c r="R59" i="56" s="1"/>
  <c r="R235" i="56"/>
  <c r="R106" i="56"/>
  <c r="K296" i="56"/>
  <c r="K235" i="56"/>
  <c r="K170" i="56"/>
  <c r="K106" i="56"/>
  <c r="K41" i="56"/>
  <c r="K59" i="56" s="1"/>
  <c r="S296" i="56"/>
  <c r="S235" i="56"/>
  <c r="S170" i="56"/>
  <c r="S106" i="56"/>
  <c r="S41" i="56"/>
  <c r="S59" i="56" s="1"/>
  <c r="O298" i="56"/>
  <c r="O237" i="56"/>
  <c r="O172" i="56"/>
  <c r="O108" i="56"/>
  <c r="O43" i="56"/>
  <c r="O61" i="56" s="1"/>
  <c r="G236" i="56"/>
  <c r="G254" i="56" s="1"/>
  <c r="G297" i="56"/>
  <c r="G316" i="56" s="1"/>
  <c r="G171" i="56"/>
  <c r="G189" i="56" s="1"/>
  <c r="G42" i="56"/>
  <c r="G60" i="56" s="1"/>
  <c r="G107" i="56"/>
  <c r="G125" i="56" s="1"/>
  <c r="O107" i="56"/>
  <c r="O297" i="56"/>
  <c r="O171" i="56"/>
  <c r="O42" i="56"/>
  <c r="O60" i="56" s="1"/>
  <c r="O236" i="56"/>
  <c r="K109" i="56"/>
  <c r="K299" i="56"/>
  <c r="K173" i="56"/>
  <c r="K44" i="56"/>
  <c r="K62" i="56" s="1"/>
  <c r="K238" i="56"/>
  <c r="J296" i="56"/>
  <c r="J315" i="56" s="1"/>
  <c r="J170" i="56"/>
  <c r="J41" i="56"/>
  <c r="J59" i="56" s="1"/>
  <c r="J106" i="56"/>
  <c r="J235" i="56"/>
  <c r="D236" i="56"/>
  <c r="D254" i="56" s="1"/>
  <c r="D107" i="56"/>
  <c r="D125" i="56" s="1"/>
  <c r="D171" i="56"/>
  <c r="D189" i="56" s="1"/>
  <c r="D297" i="56"/>
  <c r="D316" i="56" s="1"/>
  <c r="D42" i="56"/>
  <c r="D60" i="56" s="1"/>
  <c r="D299" i="56"/>
  <c r="D318" i="56" s="1"/>
  <c r="D173" i="56"/>
  <c r="D191" i="56" s="1"/>
  <c r="D238" i="56"/>
  <c r="D256" i="56" s="1"/>
  <c r="D109" i="56"/>
  <c r="D127" i="56" s="1"/>
  <c r="D44" i="56"/>
  <c r="D62" i="56" s="1"/>
  <c r="J297" i="56"/>
  <c r="J316" i="56" s="1"/>
  <c r="J236" i="56"/>
  <c r="J171" i="56"/>
  <c r="J107" i="56"/>
  <c r="J42" i="56"/>
  <c r="J60" i="56" s="1"/>
  <c r="R297" i="56"/>
  <c r="R236" i="56"/>
  <c r="R171" i="56"/>
  <c r="R107" i="56"/>
  <c r="R42" i="56"/>
  <c r="R60" i="56" s="1"/>
  <c r="L298" i="56"/>
  <c r="L237" i="56"/>
  <c r="L172" i="56"/>
  <c r="L108" i="56"/>
  <c r="L43" i="56"/>
  <c r="L61" i="56" s="1"/>
  <c r="T298" i="56"/>
  <c r="T237" i="56"/>
  <c r="T172" i="56"/>
  <c r="T108" i="56"/>
  <c r="T43" i="56"/>
  <c r="T61" i="56" s="1"/>
  <c r="J299" i="56"/>
  <c r="J318" i="56" s="1"/>
  <c r="J238" i="56"/>
  <c r="J173" i="56"/>
  <c r="J109" i="56"/>
  <c r="J44" i="56"/>
  <c r="J62" i="56" s="1"/>
  <c r="R299" i="56"/>
  <c r="R238" i="56"/>
  <c r="R173" i="56"/>
  <c r="R109" i="56"/>
  <c r="R44" i="56"/>
  <c r="R62" i="56" s="1"/>
  <c r="I235" i="56"/>
  <c r="I296" i="56"/>
  <c r="I315" i="56" s="1"/>
  <c r="I170" i="56"/>
  <c r="I41" i="56"/>
  <c r="I59" i="56" s="1"/>
  <c r="I106" i="56"/>
  <c r="Q106" i="56"/>
  <c r="Q296" i="56"/>
  <c r="Q170" i="56"/>
  <c r="Q41" i="56"/>
  <c r="Q59" i="56" s="1"/>
  <c r="Q235" i="56"/>
  <c r="N235" i="56"/>
  <c r="N106" i="56"/>
  <c r="N41" i="56"/>
  <c r="N59" i="56" s="1"/>
  <c r="N296" i="56"/>
  <c r="N170" i="56"/>
  <c r="H238" i="56"/>
  <c r="H256" i="56" s="1"/>
  <c r="H109" i="56"/>
  <c r="H127" i="56" s="1"/>
  <c r="H44" i="56"/>
  <c r="H62" i="56" s="1"/>
  <c r="H299" i="56"/>
  <c r="H318" i="56" s="1"/>
  <c r="H173" i="56"/>
  <c r="H191" i="56" s="1"/>
  <c r="P238" i="56"/>
  <c r="P109" i="56"/>
  <c r="P44" i="56"/>
  <c r="P62" i="56" s="1"/>
  <c r="P299" i="56"/>
  <c r="P173" i="56"/>
  <c r="E236" i="56"/>
  <c r="E107" i="56"/>
  <c r="E297" i="56"/>
  <c r="E171" i="56"/>
  <c r="E42" i="56"/>
  <c r="E60" i="56" s="1"/>
  <c r="I299" i="56"/>
  <c r="I318" i="56" s="1"/>
  <c r="I238" i="56"/>
  <c r="I256" i="56" s="1"/>
  <c r="I173" i="56"/>
  <c r="I109" i="56"/>
  <c r="I44" i="56"/>
  <c r="I62" i="56" s="1"/>
  <c r="T296" i="56"/>
  <c r="T235" i="56"/>
  <c r="T170" i="56"/>
  <c r="T106" i="56"/>
  <c r="T41" i="56"/>
  <c r="T59" i="56" s="1"/>
  <c r="I298" i="56"/>
  <c r="I317" i="56" s="1"/>
  <c r="I237" i="56"/>
  <c r="I108" i="56"/>
  <c r="I43" i="56"/>
  <c r="I61" i="56" s="1"/>
  <c r="I172" i="56"/>
  <c r="Q172" i="56"/>
  <c r="Q237" i="56"/>
  <c r="Q108" i="56"/>
  <c r="Q43" i="56"/>
  <c r="Q61" i="56" s="1"/>
  <c r="Q298" i="56"/>
  <c r="I297" i="56"/>
  <c r="I316" i="56" s="1"/>
  <c r="I236" i="56"/>
  <c r="I171" i="56"/>
  <c r="I107" i="56"/>
  <c r="I42" i="56"/>
  <c r="I60" i="56" s="1"/>
  <c r="L296" i="56"/>
  <c r="L235" i="56"/>
  <c r="L170" i="56"/>
  <c r="L106" i="56"/>
  <c r="L41" i="56"/>
  <c r="L59" i="56" s="1"/>
  <c r="L236" i="56"/>
  <c r="L107" i="56"/>
  <c r="L42" i="56"/>
  <c r="L60" i="56" s="1"/>
  <c r="L297" i="56"/>
  <c r="L171" i="56"/>
  <c r="T236" i="56"/>
  <c r="T107" i="56"/>
  <c r="T42" i="56"/>
  <c r="T60" i="56" s="1"/>
  <c r="T297" i="56"/>
  <c r="T171" i="56"/>
  <c r="M299" i="56"/>
  <c r="M238" i="56"/>
  <c r="M173" i="56"/>
  <c r="M109" i="56"/>
  <c r="M44" i="56"/>
  <c r="M62" i="56" s="1"/>
  <c r="P296" i="56"/>
  <c r="P235" i="56"/>
  <c r="P170" i="56"/>
  <c r="P106" i="56"/>
  <c r="P41" i="56"/>
  <c r="P59" i="56" s="1"/>
  <c r="D298" i="56"/>
  <c r="D317" i="56" s="1"/>
  <c r="D172" i="56"/>
  <c r="D190" i="56" s="1"/>
  <c r="D237" i="56"/>
  <c r="D255" i="56" s="1"/>
  <c r="D43" i="56"/>
  <c r="D61" i="56" s="1"/>
  <c r="D108" i="56"/>
  <c r="D126" i="56" s="1"/>
  <c r="O173" i="56"/>
  <c r="O238" i="56"/>
  <c r="O109" i="56"/>
  <c r="O44" i="56"/>
  <c r="O62" i="56" s="1"/>
  <c r="O299" i="56"/>
  <c r="G296" i="56"/>
  <c r="G315" i="56" s="1"/>
  <c r="G235" i="56"/>
  <c r="G253" i="56" s="1"/>
  <c r="G170" i="56"/>
  <c r="G188" i="56" s="1"/>
  <c r="G106" i="56"/>
  <c r="G124" i="56" s="1"/>
  <c r="G41" i="56"/>
  <c r="G59" i="56" s="1"/>
  <c r="O296" i="56"/>
  <c r="O235" i="56"/>
  <c r="O170" i="56"/>
  <c r="O106" i="56"/>
  <c r="O41" i="56"/>
  <c r="O59" i="56" s="1"/>
  <c r="K298" i="56"/>
  <c r="K237" i="56"/>
  <c r="K172" i="56"/>
  <c r="K108" i="56"/>
  <c r="K43" i="56"/>
  <c r="K61" i="56" s="1"/>
  <c r="K297" i="56"/>
  <c r="K236" i="56"/>
  <c r="K107" i="56"/>
  <c r="K42" i="56"/>
  <c r="K60" i="56" s="1"/>
  <c r="K171" i="56"/>
  <c r="S171" i="56"/>
  <c r="S236" i="56"/>
  <c r="S107" i="56"/>
  <c r="S42" i="56"/>
  <c r="S60" i="56" s="1"/>
  <c r="S297" i="56"/>
  <c r="G299" i="56"/>
  <c r="G318" i="56" s="1"/>
  <c r="G238" i="56"/>
  <c r="G256" i="56" s="1"/>
  <c r="G109" i="56"/>
  <c r="G127" i="56" s="1"/>
  <c r="G44" i="56"/>
  <c r="G62" i="56" s="1"/>
  <c r="G173" i="56"/>
  <c r="G191" i="56" s="1"/>
  <c r="S238" i="56"/>
  <c r="S299" i="56"/>
  <c r="S173" i="56"/>
  <c r="S44" i="56"/>
  <c r="S62" i="56" s="1"/>
  <c r="S109" i="56"/>
  <c r="S298" i="56"/>
  <c r="S237" i="56"/>
  <c r="S172" i="56"/>
  <c r="S108" i="56"/>
  <c r="S43" i="56"/>
  <c r="S61" i="56" s="1"/>
  <c r="J237" i="56"/>
  <c r="J108" i="56"/>
  <c r="J43" i="56"/>
  <c r="J61" i="56" s="1"/>
  <c r="J298" i="56"/>
  <c r="J317" i="56" s="1"/>
  <c r="J172" i="56"/>
  <c r="R237" i="56"/>
  <c r="R108" i="56"/>
  <c r="R43" i="56"/>
  <c r="R61" i="56" s="1"/>
  <c r="R298" i="56"/>
  <c r="R172" i="56"/>
  <c r="G298" i="56"/>
  <c r="G317" i="56" s="1"/>
  <c r="G237" i="56"/>
  <c r="G255" i="56" s="1"/>
  <c r="G172" i="56"/>
  <c r="G190" i="56" s="1"/>
  <c r="G108" i="56"/>
  <c r="G126" i="56" s="1"/>
  <c r="G43" i="56"/>
  <c r="G61" i="56" s="1"/>
  <c r="D303" i="56"/>
  <c r="D322" i="56" s="1"/>
  <c r="D177" i="56"/>
  <c r="D195" i="56" s="1"/>
  <c r="D48" i="56"/>
  <c r="D67" i="56" s="1"/>
  <c r="D242" i="56"/>
  <c r="D260" i="56" s="1"/>
  <c r="D113" i="56"/>
  <c r="D131" i="56" s="1"/>
  <c r="D245" i="56"/>
  <c r="D263" i="56" s="1"/>
  <c r="D116" i="56"/>
  <c r="D134" i="56" s="1"/>
  <c r="D51" i="56"/>
  <c r="D70" i="56" s="1"/>
  <c r="D306" i="56"/>
  <c r="D325" i="56" s="1"/>
  <c r="D180" i="56"/>
  <c r="D198" i="56" s="1"/>
  <c r="S244" i="56"/>
  <c r="S115" i="56"/>
  <c r="S50" i="56"/>
  <c r="S69" i="56" s="1"/>
  <c r="S179" i="56"/>
  <c r="S305" i="56"/>
  <c r="F305" i="56"/>
  <c r="F244" i="56"/>
  <c r="F262" i="56" s="1"/>
  <c r="F179" i="56"/>
  <c r="F197" i="56" s="1"/>
  <c r="F115" i="56"/>
  <c r="F133" i="56" s="1"/>
  <c r="F50" i="56"/>
  <c r="F69" i="56" s="1"/>
  <c r="O306" i="56"/>
  <c r="O245" i="56"/>
  <c r="O180" i="56"/>
  <c r="O116" i="56"/>
  <c r="O51" i="56"/>
  <c r="O70" i="56" s="1"/>
  <c r="U303" i="56"/>
  <c r="U242" i="56"/>
  <c r="U177" i="56"/>
  <c r="U113" i="56"/>
  <c r="U48" i="56"/>
  <c r="U67" i="56" s="1"/>
  <c r="E242" i="56"/>
  <c r="E303" i="56"/>
  <c r="E177" i="56"/>
  <c r="E48" i="56"/>
  <c r="E67" i="56" s="1"/>
  <c r="E113" i="56"/>
  <c r="N306" i="56"/>
  <c r="N245" i="56"/>
  <c r="N180" i="56"/>
  <c r="N116" i="56"/>
  <c r="N51" i="56"/>
  <c r="N70" i="56" s="1"/>
  <c r="F245" i="56"/>
  <c r="F263" i="56" s="1"/>
  <c r="F116" i="56"/>
  <c r="F134" i="56" s="1"/>
  <c r="F51" i="56"/>
  <c r="F70" i="56" s="1"/>
  <c r="F306" i="56"/>
  <c r="F180" i="56"/>
  <c r="F198" i="56" s="1"/>
  <c r="H305" i="56"/>
  <c r="H244" i="56"/>
  <c r="H262" i="56" s="1"/>
  <c r="H179" i="56"/>
  <c r="H197" i="56" s="1"/>
  <c r="H115" i="56"/>
  <c r="H133" i="56" s="1"/>
  <c r="H50" i="56"/>
  <c r="H69" i="56" s="1"/>
  <c r="N304" i="56"/>
  <c r="N243" i="56"/>
  <c r="N178" i="56"/>
  <c r="N114" i="56"/>
  <c r="N49" i="56"/>
  <c r="N68" i="56" s="1"/>
  <c r="F304" i="56"/>
  <c r="F243" i="56"/>
  <c r="F261" i="56" s="1"/>
  <c r="F178" i="56"/>
  <c r="F196" i="56" s="1"/>
  <c r="F114" i="56"/>
  <c r="F132" i="56" s="1"/>
  <c r="F49" i="56"/>
  <c r="F68" i="56" s="1"/>
  <c r="P303" i="56"/>
  <c r="P242" i="56"/>
  <c r="P177" i="56"/>
  <c r="P113" i="56"/>
  <c r="P48" i="56"/>
  <c r="P67" i="56" s="1"/>
  <c r="H303" i="56"/>
  <c r="H242" i="56"/>
  <c r="H260" i="56" s="1"/>
  <c r="H177" i="56"/>
  <c r="H195" i="56" s="1"/>
  <c r="H113" i="56"/>
  <c r="H131" i="56" s="1"/>
  <c r="H48" i="56"/>
  <c r="H67" i="56" s="1"/>
  <c r="O305" i="56"/>
  <c r="O179" i="56"/>
  <c r="O50" i="56"/>
  <c r="O69" i="56" s="1"/>
  <c r="O115" i="56"/>
  <c r="O244" i="56"/>
  <c r="Q304" i="56"/>
  <c r="Q178" i="56"/>
  <c r="Q49" i="56"/>
  <c r="Q68" i="56" s="1"/>
  <c r="Q243" i="56"/>
  <c r="Q114" i="56"/>
  <c r="T306" i="56"/>
  <c r="T180" i="56"/>
  <c r="T51" i="56"/>
  <c r="T70" i="56" s="1"/>
  <c r="T245" i="56"/>
  <c r="T116" i="56"/>
  <c r="N305" i="56"/>
  <c r="N179" i="56"/>
  <c r="N50" i="56"/>
  <c r="N69" i="56" s="1"/>
  <c r="N244" i="56"/>
  <c r="N115" i="56"/>
  <c r="H304" i="56"/>
  <c r="H178" i="56"/>
  <c r="H196" i="56" s="1"/>
  <c r="H49" i="56"/>
  <c r="H68" i="56" s="1"/>
  <c r="H243" i="56"/>
  <c r="H261" i="56" s="1"/>
  <c r="H114" i="56"/>
  <c r="H132" i="56" s="1"/>
  <c r="K306" i="56"/>
  <c r="K245" i="56"/>
  <c r="K180" i="56"/>
  <c r="K116" i="56"/>
  <c r="K51" i="56"/>
  <c r="K70" i="56" s="1"/>
  <c r="E116" i="56"/>
  <c r="E51" i="56"/>
  <c r="E70" i="56" s="1"/>
  <c r="E306" i="56"/>
  <c r="E180" i="56"/>
  <c r="E245" i="56"/>
  <c r="I304" i="56"/>
  <c r="I178" i="56"/>
  <c r="I49" i="56"/>
  <c r="I68" i="56" s="1"/>
  <c r="I243" i="56"/>
  <c r="I261" i="56" s="1"/>
  <c r="I114" i="56"/>
  <c r="G306" i="56"/>
  <c r="G245" i="56"/>
  <c r="G263" i="56" s="1"/>
  <c r="G180" i="56"/>
  <c r="G198" i="56" s="1"/>
  <c r="G116" i="56"/>
  <c r="G134" i="56" s="1"/>
  <c r="G51" i="56"/>
  <c r="G70" i="56" s="1"/>
  <c r="M303" i="56"/>
  <c r="M242" i="56"/>
  <c r="M177" i="56"/>
  <c r="M113" i="56"/>
  <c r="M48" i="56"/>
  <c r="M67" i="56" s="1"/>
  <c r="T305" i="56"/>
  <c r="T244" i="56"/>
  <c r="T179" i="56"/>
  <c r="T115" i="56"/>
  <c r="T50" i="56"/>
  <c r="T69" i="56" s="1"/>
  <c r="M243" i="56"/>
  <c r="M114" i="56"/>
  <c r="M49" i="56"/>
  <c r="M68" i="56" s="1"/>
  <c r="M178" i="56"/>
  <c r="M304" i="56"/>
  <c r="P304" i="56"/>
  <c r="P178" i="56"/>
  <c r="P49" i="56"/>
  <c r="P68" i="56" s="1"/>
  <c r="P243" i="56"/>
  <c r="P114" i="56"/>
  <c r="S306" i="56"/>
  <c r="S245" i="56"/>
  <c r="S180" i="56"/>
  <c r="S116" i="56"/>
  <c r="S51" i="56"/>
  <c r="S70" i="56" s="1"/>
  <c r="Q305" i="56"/>
  <c r="Q244" i="56"/>
  <c r="Q179" i="56"/>
  <c r="Q115" i="56"/>
  <c r="Q50" i="56"/>
  <c r="Q69" i="56" s="1"/>
  <c r="S304" i="56"/>
  <c r="S243" i="56"/>
  <c r="S178" i="56"/>
  <c r="S114" i="56"/>
  <c r="S49" i="56"/>
  <c r="S68" i="56" s="1"/>
  <c r="I303" i="56"/>
  <c r="I242" i="56"/>
  <c r="I260" i="56" s="1"/>
  <c r="I177" i="56"/>
  <c r="I113" i="56"/>
  <c r="I48" i="56"/>
  <c r="I67" i="56" s="1"/>
  <c r="U306" i="56"/>
  <c r="U180" i="56"/>
  <c r="U51" i="56"/>
  <c r="U70" i="56" s="1"/>
  <c r="U116" i="56"/>
  <c r="U245" i="56"/>
  <c r="M306" i="56"/>
  <c r="M180" i="56"/>
  <c r="M51" i="56"/>
  <c r="M70" i="56" s="1"/>
  <c r="M116" i="56"/>
  <c r="M245" i="56"/>
  <c r="U243" i="56"/>
  <c r="U114" i="56"/>
  <c r="U49" i="56"/>
  <c r="U68" i="56" s="1"/>
  <c r="U178" i="56"/>
  <c r="U304" i="56"/>
  <c r="U305" i="56"/>
  <c r="U244" i="56"/>
  <c r="U179" i="56"/>
  <c r="U115" i="56"/>
  <c r="U50" i="56"/>
  <c r="U69" i="56" s="1"/>
  <c r="E244" i="56"/>
  <c r="E305" i="56"/>
  <c r="E179" i="56"/>
  <c r="E115" i="56"/>
  <c r="E50" i="56"/>
  <c r="E69" i="56" s="1"/>
  <c r="E304" i="56"/>
  <c r="E178" i="56"/>
  <c r="E114" i="56"/>
  <c r="E243" i="56"/>
  <c r="E49" i="56"/>
  <c r="E68" i="56" s="1"/>
  <c r="I305" i="56"/>
  <c r="I244" i="56"/>
  <c r="I262" i="56" s="1"/>
  <c r="I179" i="56"/>
  <c r="I115" i="56"/>
  <c r="I50" i="56"/>
  <c r="I69" i="56" s="1"/>
  <c r="Q303" i="56"/>
  <c r="Q242" i="56"/>
  <c r="Q177" i="56"/>
  <c r="Q113" i="56"/>
  <c r="Q48" i="56"/>
  <c r="Q67" i="56" s="1"/>
  <c r="O242" i="56"/>
  <c r="O113" i="56"/>
  <c r="O48" i="56"/>
  <c r="O67" i="56" s="1"/>
  <c r="O303" i="56"/>
  <c r="O177" i="56"/>
  <c r="N242" i="56"/>
  <c r="N113" i="56"/>
  <c r="N48" i="56"/>
  <c r="N67" i="56" s="1"/>
  <c r="N177" i="56"/>
  <c r="N303" i="56"/>
  <c r="P305" i="56"/>
  <c r="P244" i="56"/>
  <c r="P179" i="56"/>
  <c r="P115" i="56"/>
  <c r="P50" i="56"/>
  <c r="P69" i="56" s="1"/>
  <c r="K303" i="56"/>
  <c r="K177" i="56"/>
  <c r="K48" i="56"/>
  <c r="K67" i="56" s="1"/>
  <c r="K113" i="56"/>
  <c r="K242" i="56"/>
  <c r="L306" i="56"/>
  <c r="L180" i="56"/>
  <c r="L51" i="56"/>
  <c r="L70" i="56" s="1"/>
  <c r="L245" i="56"/>
  <c r="L116" i="56"/>
  <c r="T243" i="56"/>
  <c r="T114" i="56"/>
  <c r="T49" i="56"/>
  <c r="T68" i="56" s="1"/>
  <c r="T304" i="56"/>
  <c r="T178" i="56"/>
  <c r="J303" i="56"/>
  <c r="J177" i="56"/>
  <c r="J48" i="56"/>
  <c r="J67" i="56" s="1"/>
  <c r="J242" i="56"/>
  <c r="J113" i="56"/>
  <c r="O304" i="56"/>
  <c r="O243" i="56"/>
  <c r="O178" i="56"/>
  <c r="O114" i="56"/>
  <c r="O49" i="56"/>
  <c r="O68" i="56" s="1"/>
  <c r="Q245" i="56"/>
  <c r="Q116" i="56"/>
  <c r="Q51" i="56"/>
  <c r="Q70" i="56" s="1"/>
  <c r="Q180" i="56"/>
  <c r="Q306" i="56"/>
  <c r="D305" i="56"/>
  <c r="D324" i="56" s="1"/>
  <c r="D179" i="56"/>
  <c r="D197" i="56" s="1"/>
  <c r="D115" i="56"/>
  <c r="D133" i="56" s="1"/>
  <c r="D244" i="56"/>
  <c r="D262" i="56" s="1"/>
  <c r="D50" i="56"/>
  <c r="D69" i="56" s="1"/>
  <c r="D304" i="56"/>
  <c r="D323" i="56" s="1"/>
  <c r="D178" i="56"/>
  <c r="D196" i="56" s="1"/>
  <c r="D114" i="56"/>
  <c r="D132" i="56" s="1"/>
  <c r="D243" i="56"/>
  <c r="D261" i="56" s="1"/>
  <c r="D49" i="56"/>
  <c r="D68" i="56" s="1"/>
  <c r="K244" i="56"/>
  <c r="K115" i="56"/>
  <c r="K50" i="56"/>
  <c r="K69" i="56" s="1"/>
  <c r="K305" i="56"/>
  <c r="K179" i="56"/>
  <c r="R244" i="56"/>
  <c r="R115" i="56"/>
  <c r="R50" i="56"/>
  <c r="R69" i="56" s="1"/>
  <c r="R305" i="56"/>
  <c r="R179" i="56"/>
  <c r="L243" i="56"/>
  <c r="L114" i="56"/>
  <c r="L49" i="56"/>
  <c r="L68" i="56" s="1"/>
  <c r="L304" i="56"/>
  <c r="L178" i="56"/>
  <c r="F303" i="56"/>
  <c r="F177" i="56"/>
  <c r="F195" i="56" s="1"/>
  <c r="F48" i="56"/>
  <c r="F67" i="56" s="1"/>
  <c r="F242" i="56"/>
  <c r="F260" i="56" s="1"/>
  <c r="F113" i="56"/>
  <c r="F131" i="56" s="1"/>
  <c r="M305" i="56"/>
  <c r="M244" i="56"/>
  <c r="M179" i="56"/>
  <c r="M115" i="56"/>
  <c r="M50" i="56"/>
  <c r="M69" i="56" s="1"/>
  <c r="K304" i="56"/>
  <c r="K243" i="56"/>
  <c r="K178" i="56"/>
  <c r="K114" i="56"/>
  <c r="K49" i="56"/>
  <c r="K68" i="56" s="1"/>
  <c r="R306" i="56"/>
  <c r="R245" i="56"/>
  <c r="R180" i="56"/>
  <c r="R116" i="56"/>
  <c r="R51" i="56"/>
  <c r="R70" i="56" s="1"/>
  <c r="J306" i="56"/>
  <c r="J245" i="56"/>
  <c r="J180" i="56"/>
  <c r="J116" i="56"/>
  <c r="J51" i="56"/>
  <c r="J70" i="56" s="1"/>
  <c r="L305" i="56"/>
  <c r="L244" i="56"/>
  <c r="L179" i="56"/>
  <c r="L115" i="56"/>
  <c r="L50" i="56"/>
  <c r="L69" i="56" s="1"/>
  <c r="R304" i="56"/>
  <c r="R243" i="56"/>
  <c r="R178" i="56"/>
  <c r="R114" i="56"/>
  <c r="R49" i="56"/>
  <c r="R68" i="56" s="1"/>
  <c r="J304" i="56"/>
  <c r="J243" i="56"/>
  <c r="J178" i="56"/>
  <c r="J114" i="56"/>
  <c r="J49" i="56"/>
  <c r="J68" i="56" s="1"/>
  <c r="T303" i="56"/>
  <c r="T242" i="56"/>
  <c r="T177" i="56"/>
  <c r="T113" i="56"/>
  <c r="T48" i="56"/>
  <c r="T67" i="56" s="1"/>
  <c r="L303" i="56"/>
  <c r="L242" i="56"/>
  <c r="L177" i="56"/>
  <c r="L113" i="56"/>
  <c r="L48" i="56"/>
  <c r="L67" i="56" s="1"/>
  <c r="I245" i="56"/>
  <c r="I263" i="56" s="1"/>
  <c r="I116" i="56"/>
  <c r="I51" i="56"/>
  <c r="I70" i="56" s="1"/>
  <c r="I306" i="56"/>
  <c r="I180" i="56"/>
  <c r="G305" i="56"/>
  <c r="G179" i="56"/>
  <c r="G197" i="56" s="1"/>
  <c r="G50" i="56"/>
  <c r="G69" i="56" s="1"/>
  <c r="G244" i="56"/>
  <c r="G262" i="56" s="1"/>
  <c r="G115" i="56"/>
  <c r="G133" i="56" s="1"/>
  <c r="S303" i="56"/>
  <c r="S177" i="56"/>
  <c r="S48" i="56"/>
  <c r="S67" i="56" s="1"/>
  <c r="S113" i="56"/>
  <c r="S242" i="56"/>
  <c r="G242" i="56"/>
  <c r="G260" i="56" s="1"/>
  <c r="G113" i="56"/>
  <c r="G131" i="56" s="1"/>
  <c r="G177" i="56"/>
  <c r="G195" i="56" s="1"/>
  <c r="G303" i="56"/>
  <c r="G48" i="56"/>
  <c r="G67" i="56" s="1"/>
  <c r="P245" i="56"/>
  <c r="P116" i="56"/>
  <c r="P51" i="56"/>
  <c r="P70" i="56" s="1"/>
  <c r="P306" i="56"/>
  <c r="P180" i="56"/>
  <c r="H245" i="56"/>
  <c r="H263" i="56" s="1"/>
  <c r="H116" i="56"/>
  <c r="H134" i="56" s="1"/>
  <c r="H51" i="56"/>
  <c r="H70" i="56" s="1"/>
  <c r="H306" i="56"/>
  <c r="H180" i="56"/>
  <c r="H198" i="56" s="1"/>
  <c r="J244" i="56"/>
  <c r="J115" i="56"/>
  <c r="J50" i="56"/>
  <c r="J69" i="56" s="1"/>
  <c r="J305" i="56"/>
  <c r="J179" i="56"/>
  <c r="R303" i="56"/>
  <c r="R177" i="56"/>
  <c r="R48" i="56"/>
  <c r="R67" i="56" s="1"/>
  <c r="R113" i="56"/>
  <c r="R242" i="56"/>
  <c r="G304" i="56"/>
  <c r="G243" i="56"/>
  <c r="G261" i="56" s="1"/>
  <c r="G178" i="56"/>
  <c r="G196" i="56" s="1"/>
  <c r="G114" i="56"/>
  <c r="G132" i="56" s="1"/>
  <c r="G49" i="56"/>
  <c r="G68" i="56" s="1"/>
  <c r="W47" i="54"/>
  <c r="Y47" i="54"/>
  <c r="X47" i="54"/>
  <c r="T47" i="54"/>
  <c r="N47" i="54"/>
  <c r="Q47" i="54"/>
  <c r="E47" i="54"/>
  <c r="O47" i="54"/>
  <c r="L47" i="54"/>
  <c r="J47" i="54"/>
  <c r="M47" i="54"/>
  <c r="K47" i="54"/>
  <c r="V47" i="54"/>
  <c r="F47" i="54"/>
  <c r="I47" i="54"/>
  <c r="H47" i="54"/>
  <c r="G47" i="54"/>
  <c r="R47" i="54"/>
  <c r="U47" i="54"/>
  <c r="S47" i="54"/>
  <c r="P47" i="54"/>
  <c r="O73" i="74"/>
  <c r="M53" i="72" s="1"/>
  <c r="M11" i="72"/>
  <c r="M11" i="56"/>
  <c r="G73" i="74"/>
  <c r="E53" i="72" s="1"/>
  <c r="E11" i="72"/>
  <c r="E11" i="56"/>
  <c r="V73" i="74"/>
  <c r="T53" i="72" s="1"/>
  <c r="T11" i="72"/>
  <c r="T11" i="56"/>
  <c r="R73" i="74"/>
  <c r="P53" i="72" s="1"/>
  <c r="P11" i="72"/>
  <c r="P11" i="56"/>
  <c r="N73" i="74"/>
  <c r="L53" i="72" s="1"/>
  <c r="L11" i="72"/>
  <c r="L11" i="56"/>
  <c r="J73" i="74"/>
  <c r="H53" i="72" s="1"/>
  <c r="H11" i="72"/>
  <c r="H11" i="56"/>
  <c r="W73" i="74"/>
  <c r="U53" i="72" s="1"/>
  <c r="U11" i="72"/>
  <c r="U11" i="56"/>
  <c r="K73" i="74"/>
  <c r="I53" i="72" s="1"/>
  <c r="I11" i="72"/>
  <c r="I11" i="56"/>
  <c r="U73" i="74"/>
  <c r="S53" i="72" s="1"/>
  <c r="S11" i="56"/>
  <c r="S11" i="72"/>
  <c r="I73" i="74"/>
  <c r="G53" i="72" s="1"/>
  <c r="G11" i="56"/>
  <c r="G11" i="72"/>
  <c r="S73" i="74"/>
  <c r="Q53" i="72" s="1"/>
  <c r="Q11" i="72"/>
  <c r="Q11" i="56"/>
  <c r="Q73" i="74"/>
  <c r="O53" i="72" s="1"/>
  <c r="O11" i="56"/>
  <c r="O11" i="72"/>
  <c r="M73" i="74"/>
  <c r="K53" i="72" s="1"/>
  <c r="K11" i="56"/>
  <c r="K11" i="72"/>
  <c r="T73" i="74"/>
  <c r="R53" i="72" s="1"/>
  <c r="R11" i="56"/>
  <c r="R11" i="72"/>
  <c r="P73" i="74"/>
  <c r="N53" i="72" s="1"/>
  <c r="N11" i="72"/>
  <c r="N11" i="56"/>
  <c r="L73" i="74"/>
  <c r="J53" i="72" s="1"/>
  <c r="J11" i="56"/>
  <c r="J11" i="72"/>
  <c r="H73" i="74"/>
  <c r="F53" i="72" s="1"/>
  <c r="F11" i="72"/>
  <c r="F11" i="56"/>
  <c r="Y42" i="54"/>
  <c r="W42" i="54"/>
  <c r="X42" i="54"/>
  <c r="AC60" i="54" a="1"/>
  <c r="J42" i="54"/>
  <c r="M42" i="54"/>
  <c r="T42" i="54"/>
  <c r="G42" i="54"/>
  <c r="F42" i="54"/>
  <c r="N42" i="54"/>
  <c r="K42" i="54"/>
  <c r="I42" i="54"/>
  <c r="P42" i="54"/>
  <c r="S42" i="54"/>
  <c r="U42" i="54"/>
  <c r="R42" i="54"/>
  <c r="L42" i="54"/>
  <c r="V42" i="54"/>
  <c r="H42" i="54"/>
  <c r="O42" i="54"/>
  <c r="Q42" i="54"/>
  <c r="Q62" i="54"/>
  <c r="Q61" i="54"/>
  <c r="Q60" i="54"/>
  <c r="AB84" i="54"/>
  <c r="T20" i="56"/>
  <c r="T20" i="72"/>
  <c r="P20" i="56"/>
  <c r="P20" i="72"/>
  <c r="H20" i="56"/>
  <c r="H20" i="72"/>
  <c r="O20" i="56"/>
  <c r="O20" i="72"/>
  <c r="G20" i="72"/>
  <c r="G20" i="56"/>
  <c r="U20" i="56"/>
  <c r="U20" i="72"/>
  <c r="Q20" i="72"/>
  <c r="Q20" i="56"/>
  <c r="M20" i="72"/>
  <c r="M20" i="56"/>
  <c r="I20" i="72"/>
  <c r="I20" i="56"/>
  <c r="E20" i="56"/>
  <c r="E20" i="72"/>
  <c r="L20" i="72"/>
  <c r="L20" i="56"/>
  <c r="S20" i="56"/>
  <c r="S20" i="72"/>
  <c r="K20" i="56"/>
  <c r="K20" i="72"/>
  <c r="R20" i="56"/>
  <c r="R20" i="72"/>
  <c r="N20" i="56"/>
  <c r="N20" i="72"/>
  <c r="J20" i="56"/>
  <c r="J20" i="72"/>
  <c r="F20" i="56"/>
  <c r="F20" i="72"/>
  <c r="O61" i="72"/>
  <c r="O97" i="72" s="1"/>
  <c r="G59" i="72"/>
  <c r="G95" i="72" s="1"/>
  <c r="X61" i="72"/>
  <c r="X97" i="72" s="1"/>
  <c r="H61" i="72"/>
  <c r="H97" i="72" s="1"/>
  <c r="L60" i="72"/>
  <c r="L96" i="72" s="1"/>
  <c r="P59" i="72"/>
  <c r="P95" i="72" s="1"/>
  <c r="T58" i="72"/>
  <c r="T94" i="72" s="1"/>
  <c r="W59" i="72"/>
  <c r="W95" i="72" s="1"/>
  <c r="N61" i="72"/>
  <c r="N97" i="72" s="1"/>
  <c r="R60" i="72"/>
  <c r="R96" i="72" s="1"/>
  <c r="R59" i="72"/>
  <c r="R95" i="72" s="1"/>
  <c r="V58" i="72"/>
  <c r="V94" i="72" s="1"/>
  <c r="F58" i="72"/>
  <c r="F94" i="72" s="1"/>
  <c r="S60" i="72"/>
  <c r="S96" i="72" s="1"/>
  <c r="M58" i="72"/>
  <c r="M94" i="72" s="1"/>
  <c r="M60" i="72"/>
  <c r="M96" i="72" s="1"/>
  <c r="Q59" i="72"/>
  <c r="Q95" i="72" s="1"/>
  <c r="U61" i="72"/>
  <c r="U97" i="72" s="1"/>
  <c r="Q58" i="72"/>
  <c r="Q94" i="72" s="1"/>
  <c r="J60" i="72"/>
  <c r="J96" i="72" s="1"/>
  <c r="E61" i="72"/>
  <c r="E97" i="72" s="1"/>
  <c r="I58" i="72"/>
  <c r="I94" i="72" s="1"/>
  <c r="W60" i="72"/>
  <c r="W96" i="72" s="1"/>
  <c r="O58" i="72"/>
  <c r="O94" i="72" s="1"/>
  <c r="T61" i="72"/>
  <c r="T97" i="72" s="1"/>
  <c r="X60" i="72"/>
  <c r="X96" i="72" s="1"/>
  <c r="H60" i="72"/>
  <c r="H96" i="72" s="1"/>
  <c r="L59" i="72"/>
  <c r="L95" i="72" s="1"/>
  <c r="P58" i="72"/>
  <c r="P94" i="72" s="1"/>
  <c r="S61" i="72"/>
  <c r="S97" i="72" s="1"/>
  <c r="K59" i="72"/>
  <c r="K95" i="72" s="1"/>
  <c r="J61" i="72"/>
  <c r="J97" i="72" s="1"/>
  <c r="N60" i="72"/>
  <c r="N96" i="72" s="1"/>
  <c r="N59" i="72"/>
  <c r="N95" i="72" s="1"/>
  <c r="R58" i="72"/>
  <c r="R94" i="72" s="1"/>
  <c r="G60" i="72"/>
  <c r="G96" i="72" s="1"/>
  <c r="F60" i="72"/>
  <c r="F96" i="72" s="1"/>
  <c r="E59" i="72"/>
  <c r="E95" i="72" s="1"/>
  <c r="U60" i="72"/>
  <c r="U96" i="72" s="1"/>
  <c r="I60" i="72"/>
  <c r="I96" i="72" s="1"/>
  <c r="I59" i="72"/>
  <c r="I95" i="72" s="1"/>
  <c r="K60" i="72"/>
  <c r="K96" i="72" s="1"/>
  <c r="G58" i="72"/>
  <c r="G94" i="72" s="1"/>
  <c r="P61" i="72"/>
  <c r="P97" i="72" s="1"/>
  <c r="T60" i="72"/>
  <c r="T96" i="72" s="1"/>
  <c r="X59" i="72"/>
  <c r="X95" i="72" s="1"/>
  <c r="H59" i="72"/>
  <c r="H95" i="72" s="1"/>
  <c r="L58" i="72"/>
  <c r="L94" i="72" s="1"/>
  <c r="W58" i="72"/>
  <c r="W94" i="72" s="1"/>
  <c r="V61" i="72"/>
  <c r="V97" i="72" s="1"/>
  <c r="F61" i="72"/>
  <c r="F97" i="72" s="1"/>
  <c r="J59" i="72"/>
  <c r="J95" i="72" s="1"/>
  <c r="W61" i="72"/>
  <c r="W97" i="72" s="1"/>
  <c r="S59" i="72"/>
  <c r="S95" i="72" s="1"/>
  <c r="L61" i="72"/>
  <c r="L97" i="72" s="1"/>
  <c r="P60" i="72"/>
  <c r="P96" i="72" s="1"/>
  <c r="T59" i="72"/>
  <c r="T95" i="72" s="1"/>
  <c r="X58" i="72"/>
  <c r="X94" i="72" s="1"/>
  <c r="H58" i="72"/>
  <c r="H94" i="72" s="1"/>
  <c r="O60" i="72"/>
  <c r="O96" i="72" s="1"/>
  <c r="K58" i="72"/>
  <c r="K94" i="72" s="1"/>
  <c r="R61" i="72"/>
  <c r="R97" i="72" s="1"/>
  <c r="V60" i="72"/>
  <c r="V96" i="72" s="1"/>
  <c r="V59" i="72"/>
  <c r="V95" i="72" s="1"/>
  <c r="F59" i="72"/>
  <c r="F95" i="72" s="1"/>
  <c r="J58" i="72"/>
  <c r="J94" i="72" s="1"/>
  <c r="K61" i="72"/>
  <c r="K97" i="72" s="1"/>
  <c r="S58" i="72"/>
  <c r="S94" i="72" s="1"/>
  <c r="E58" i="72"/>
  <c r="E94" i="72" s="1"/>
  <c r="E60" i="72"/>
  <c r="E96" i="72" s="1"/>
  <c r="Q61" i="72"/>
  <c r="Q97" i="72" s="1"/>
  <c r="U58" i="72"/>
  <c r="U94" i="72" s="1"/>
  <c r="I61" i="72"/>
  <c r="I97" i="72" s="1"/>
  <c r="M61" i="72"/>
  <c r="M97" i="72" s="1"/>
  <c r="G61" i="72"/>
  <c r="G97" i="72" s="1"/>
  <c r="N58" i="72"/>
  <c r="N94" i="72" s="1"/>
  <c r="O59" i="72"/>
  <c r="O95" i="72" s="1"/>
  <c r="M59" i="72"/>
  <c r="M95" i="72" s="1"/>
  <c r="Q60" i="72"/>
  <c r="Q96" i="72" s="1"/>
  <c r="U59" i="72"/>
  <c r="U95" i="72" s="1"/>
  <c r="D59" i="72"/>
  <c r="D95" i="72" s="1"/>
  <c r="D61" i="72"/>
  <c r="D97" i="72" s="1"/>
  <c r="D58" i="72"/>
  <c r="D94" i="72" s="1"/>
  <c r="D60" i="72"/>
  <c r="D96" i="72" s="1"/>
  <c r="Q74" i="54"/>
  <c r="Q75" i="54"/>
  <c r="Q70" i="54"/>
  <c r="Q78" i="54"/>
  <c r="Q69" i="54"/>
  <c r="Q80" i="54"/>
  <c r="Q63" i="54"/>
  <c r="Q77" i="54"/>
  <c r="Q73" i="54"/>
  <c r="Q72" i="54"/>
  <c r="Q67" i="54"/>
  <c r="Q64" i="54"/>
  <c r="Q71" i="54"/>
  <c r="Q79" i="54"/>
  <c r="Q66" i="54"/>
  <c r="Q68" i="54"/>
  <c r="Q65" i="54"/>
  <c r="Q76" i="54"/>
  <c r="W69" i="56"/>
  <c r="V67" i="56"/>
  <c r="W68" i="56"/>
  <c r="X67" i="56"/>
  <c r="W67" i="56"/>
  <c r="X69" i="56"/>
  <c r="V69" i="56"/>
  <c r="X68" i="56"/>
  <c r="V68" i="56"/>
  <c r="U81" i="74"/>
  <c r="S54" i="72" s="1"/>
  <c r="Q81" i="74"/>
  <c r="O54" i="72" s="1"/>
  <c r="M81" i="74"/>
  <c r="K54" i="72" s="1"/>
  <c r="I81" i="74"/>
  <c r="G54" i="72" s="1"/>
  <c r="T81" i="74"/>
  <c r="R54" i="72" s="1"/>
  <c r="P81" i="74"/>
  <c r="N54" i="72" s="1"/>
  <c r="L81" i="74"/>
  <c r="J54" i="72" s="1"/>
  <c r="H81" i="74"/>
  <c r="F54" i="72" s="1"/>
  <c r="W81" i="74"/>
  <c r="U54" i="72" s="1"/>
  <c r="S81" i="74"/>
  <c r="Q54" i="72" s="1"/>
  <c r="O81" i="74"/>
  <c r="M54" i="72" s="1"/>
  <c r="K81" i="74"/>
  <c r="I54" i="72" s="1"/>
  <c r="G81" i="74"/>
  <c r="E54" i="72" s="1"/>
  <c r="V81" i="74"/>
  <c r="T54" i="72" s="1"/>
  <c r="R81" i="74"/>
  <c r="P54" i="72" s="1"/>
  <c r="N81" i="74"/>
  <c r="L54" i="72" s="1"/>
  <c r="J81" i="74"/>
  <c r="H54" i="72" s="1"/>
  <c r="D20" i="72"/>
  <c r="F81" i="74"/>
  <c r="D54" i="72" s="1"/>
  <c r="D68" i="72" s="1"/>
  <c r="D104" i="72" s="1"/>
  <c r="V62" i="56"/>
  <c r="V70" i="56"/>
  <c r="W70" i="56"/>
  <c r="W62" i="56"/>
  <c r="X62" i="56"/>
  <c r="X70" i="56"/>
  <c r="W157" i="74"/>
  <c r="S157" i="74"/>
  <c r="O157" i="74"/>
  <c r="K157" i="74"/>
  <c r="G157" i="74"/>
  <c r="V157" i="74"/>
  <c r="R157" i="74"/>
  <c r="N157" i="74"/>
  <c r="J157" i="74"/>
  <c r="F157" i="74"/>
  <c r="D11" i="72"/>
  <c r="D11" i="56"/>
  <c r="U157" i="74"/>
  <c r="Q157" i="74"/>
  <c r="M157" i="74"/>
  <c r="I157" i="74"/>
  <c r="T157" i="74"/>
  <c r="P157" i="74"/>
  <c r="L157" i="74"/>
  <c r="H157" i="74"/>
  <c r="U149" i="74"/>
  <c r="Q149" i="74"/>
  <c r="M149" i="74"/>
  <c r="I149" i="74"/>
  <c r="T149" i="74"/>
  <c r="P149" i="74"/>
  <c r="L149" i="74"/>
  <c r="H149" i="74"/>
  <c r="W149" i="74"/>
  <c r="S149" i="74"/>
  <c r="O149" i="74"/>
  <c r="K149" i="74"/>
  <c r="G149" i="74"/>
  <c r="V149" i="74"/>
  <c r="R149" i="74"/>
  <c r="N149" i="74"/>
  <c r="J149" i="74"/>
  <c r="F149" i="74"/>
  <c r="D20" i="56"/>
  <c r="K34" i="36"/>
  <c r="V142" i="72" l="1" a="1"/>
  <c r="V157" i="72" s="1"/>
  <c r="S98" i="72"/>
  <c r="H138" i="56"/>
  <c r="J353" i="56"/>
  <c r="F139" i="56"/>
  <c r="F138" i="56"/>
  <c r="F141" i="56"/>
  <c r="G268" i="56"/>
  <c r="G140" i="56"/>
  <c r="F267" i="56"/>
  <c r="H140" i="56"/>
  <c r="F270" i="56"/>
  <c r="F269" i="56"/>
  <c r="D138" i="56"/>
  <c r="G138" i="56"/>
  <c r="G269" i="56"/>
  <c r="D269" i="56"/>
  <c r="G270" i="56"/>
  <c r="E71" i="56"/>
  <c r="G353" i="56"/>
  <c r="F353" i="56"/>
  <c r="H270" i="56"/>
  <c r="G267" i="56"/>
  <c r="D270" i="56"/>
  <c r="D290" i="56"/>
  <c r="D228" i="56"/>
  <c r="H139" i="56"/>
  <c r="F140" i="56"/>
  <c r="H92" i="54" a="1"/>
  <c r="I353" i="56"/>
  <c r="D141" i="56"/>
  <c r="D267" i="56"/>
  <c r="H267" i="56"/>
  <c r="G228" i="56"/>
  <c r="F100" i="56"/>
  <c r="E100" i="56"/>
  <c r="H353" i="56"/>
  <c r="H290" i="56"/>
  <c r="H268" i="56"/>
  <c r="H269" i="56"/>
  <c r="D268" i="56"/>
  <c r="H141" i="56"/>
  <c r="F228" i="56"/>
  <c r="G139" i="56"/>
  <c r="G141" i="56"/>
  <c r="I270" i="56"/>
  <c r="F268" i="56"/>
  <c r="G290" i="56"/>
  <c r="D353" i="56"/>
  <c r="F290" i="56"/>
  <c r="H228" i="56"/>
  <c r="AC60" i="54"/>
  <c r="AC71" i="54"/>
  <c r="AC61" i="54"/>
  <c r="AC66" i="54"/>
  <c r="AC65" i="54"/>
  <c r="AC68" i="54"/>
  <c r="AC67" i="54"/>
  <c r="AC78" i="54"/>
  <c r="AC62" i="54"/>
  <c r="AC80" i="54"/>
  <c r="AC64" i="54"/>
  <c r="AC79" i="54"/>
  <c r="AC63" i="54"/>
  <c r="AC74" i="54"/>
  <c r="AC73" i="54"/>
  <c r="AC76" i="54"/>
  <c r="AC75" i="54"/>
  <c r="AC77" i="54"/>
  <c r="AC70" i="54"/>
  <c r="AC69" i="54"/>
  <c r="AC72" i="54"/>
  <c r="W142" i="72" a="1"/>
  <c r="N98" i="72"/>
  <c r="U142" i="72" a="1"/>
  <c r="X142" i="72" a="1"/>
  <c r="P71" i="56"/>
  <c r="N71" i="56"/>
  <c r="G71" i="56"/>
  <c r="F71" i="56"/>
  <c r="H71" i="56"/>
  <c r="X71" i="56"/>
  <c r="J71" i="56"/>
  <c r="V71" i="56"/>
  <c r="L71" i="56"/>
  <c r="U71" i="56"/>
  <c r="T71" i="56"/>
  <c r="W71" i="56"/>
  <c r="D139" i="56"/>
  <c r="D100" i="56"/>
  <c r="I71" i="56"/>
  <c r="R71" i="56"/>
  <c r="S71" i="56"/>
  <c r="M71" i="56"/>
  <c r="O71" i="56"/>
  <c r="Q71" i="56"/>
  <c r="K71" i="56"/>
  <c r="D140" i="56"/>
  <c r="L98" i="72"/>
  <c r="X98" i="72"/>
  <c r="D69" i="72"/>
  <c r="D105" i="72" s="1"/>
  <c r="U98" i="72"/>
  <c r="V98" i="72"/>
  <c r="D66" i="72"/>
  <c r="D102" i="72" s="1"/>
  <c r="H98" i="72"/>
  <c r="G98" i="72"/>
  <c r="R98" i="72"/>
  <c r="Q98" i="72"/>
  <c r="M98" i="72"/>
  <c r="T98" i="72"/>
  <c r="O98" i="72"/>
  <c r="J98" i="72"/>
  <c r="I98" i="72"/>
  <c r="X69" i="72"/>
  <c r="X105" i="72" s="1"/>
  <c r="X114" i="72" s="1"/>
  <c r="X127" i="72" s="1"/>
  <c r="H69" i="72"/>
  <c r="H105" i="72" s="1"/>
  <c r="H114" i="72" s="1"/>
  <c r="H127" i="72" s="1"/>
  <c r="L68" i="72"/>
  <c r="L104" i="72" s="1"/>
  <c r="L113" i="72" s="1"/>
  <c r="L126" i="72" s="1"/>
  <c r="F69" i="72"/>
  <c r="F105" i="72" s="1"/>
  <c r="F114" i="72" s="1"/>
  <c r="F127" i="72" s="1"/>
  <c r="O69" i="72"/>
  <c r="O105" i="72" s="1"/>
  <c r="O114" i="72" s="1"/>
  <c r="O127" i="72" s="1"/>
  <c r="J69" i="72"/>
  <c r="J105" i="72" s="1"/>
  <c r="J114" i="72" s="1"/>
  <c r="J127" i="72" s="1"/>
  <c r="J68" i="72"/>
  <c r="J104" i="72" s="1"/>
  <c r="J113" i="72" s="1"/>
  <c r="J126" i="72" s="1"/>
  <c r="F67" i="72"/>
  <c r="F103" i="72" s="1"/>
  <c r="F112" i="72" s="1"/>
  <c r="F125" i="72" s="1"/>
  <c r="F66" i="72"/>
  <c r="F102" i="72" s="1"/>
  <c r="F111" i="72" s="1"/>
  <c r="F124" i="72" s="1"/>
  <c r="W69" i="72"/>
  <c r="W105" i="72" s="1"/>
  <c r="W114" i="72" s="1"/>
  <c r="W127" i="72" s="1"/>
  <c r="M69" i="72"/>
  <c r="M105" i="72" s="1"/>
  <c r="M114" i="72" s="1"/>
  <c r="M127" i="72" s="1"/>
  <c r="P67" i="72"/>
  <c r="P103" i="72" s="1"/>
  <c r="P112" i="72" s="1"/>
  <c r="P125" i="72" s="1"/>
  <c r="U68" i="72"/>
  <c r="U104" i="72" s="1"/>
  <c r="U113" i="72" s="1"/>
  <c r="U126" i="72" s="1"/>
  <c r="E68" i="72"/>
  <c r="E104" i="72" s="1"/>
  <c r="E113" i="72" s="1"/>
  <c r="E126" i="72" s="1"/>
  <c r="I67" i="72"/>
  <c r="I103" i="72" s="1"/>
  <c r="I112" i="72" s="1"/>
  <c r="I125" i="72" s="1"/>
  <c r="M66" i="72"/>
  <c r="M102" i="72" s="1"/>
  <c r="T66" i="72"/>
  <c r="T102" i="72" s="1"/>
  <c r="T111" i="72" s="1"/>
  <c r="T124" i="72" s="1"/>
  <c r="S68" i="72"/>
  <c r="S104" i="72" s="1"/>
  <c r="S113" i="72" s="1"/>
  <c r="S126" i="72" s="1"/>
  <c r="G67" i="72"/>
  <c r="G103" i="72" s="1"/>
  <c r="G112" i="72" s="1"/>
  <c r="G125" i="72" s="1"/>
  <c r="K66" i="72"/>
  <c r="K102" i="72" s="1"/>
  <c r="O67" i="72"/>
  <c r="O103" i="72" s="1"/>
  <c r="O112" i="72" s="1"/>
  <c r="O125" i="72" s="1"/>
  <c r="T69" i="72"/>
  <c r="T105" i="72" s="1"/>
  <c r="T114" i="72" s="1"/>
  <c r="T127" i="72" s="1"/>
  <c r="X68" i="72"/>
  <c r="X104" i="72" s="1"/>
  <c r="X113" i="72" s="1"/>
  <c r="X126" i="72" s="1"/>
  <c r="H68" i="72"/>
  <c r="H104" i="72" s="1"/>
  <c r="H113" i="72" s="1"/>
  <c r="H126" i="72" s="1"/>
  <c r="F68" i="72"/>
  <c r="F104" i="72" s="1"/>
  <c r="F113" i="72" s="1"/>
  <c r="F126" i="72" s="1"/>
  <c r="V69" i="72"/>
  <c r="V105" i="72" s="1"/>
  <c r="V114" i="72" s="1"/>
  <c r="V127" i="72" s="1"/>
  <c r="V68" i="72"/>
  <c r="V104" i="72" s="1"/>
  <c r="V113" i="72" s="1"/>
  <c r="V126" i="72" s="1"/>
  <c r="V67" i="72"/>
  <c r="V103" i="72" s="1"/>
  <c r="V112" i="72" s="1"/>
  <c r="V125" i="72" s="1"/>
  <c r="V66" i="72"/>
  <c r="V102" i="72" s="1"/>
  <c r="V111" i="72" s="1"/>
  <c r="V124" i="72" s="1"/>
  <c r="J67" i="72"/>
  <c r="J103" i="72" s="1"/>
  <c r="J112" i="72" s="1"/>
  <c r="J125" i="72" s="1"/>
  <c r="I69" i="72"/>
  <c r="I105" i="72" s="1"/>
  <c r="I114" i="72" s="1"/>
  <c r="I127" i="72" s="1"/>
  <c r="X66" i="72"/>
  <c r="X102" i="72" s="1"/>
  <c r="Q68" i="72"/>
  <c r="Q104" i="72" s="1"/>
  <c r="Q113" i="72" s="1"/>
  <c r="Q126" i="72" s="1"/>
  <c r="U67" i="72"/>
  <c r="U103" i="72" s="1"/>
  <c r="U112" i="72" s="1"/>
  <c r="U125" i="72" s="1"/>
  <c r="E67" i="72"/>
  <c r="E103" i="72" s="1"/>
  <c r="E112" i="72" s="1"/>
  <c r="E125" i="72" s="1"/>
  <c r="I66" i="72"/>
  <c r="I102" i="72" s="1"/>
  <c r="I111" i="72" s="1"/>
  <c r="I124" i="72" s="1"/>
  <c r="H66" i="72"/>
  <c r="H102" i="72" s="1"/>
  <c r="H111" i="72" s="1"/>
  <c r="H124" i="72" s="1"/>
  <c r="K69" i="72"/>
  <c r="K105" i="72" s="1"/>
  <c r="K114" i="72" s="1"/>
  <c r="K127" i="72" s="1"/>
  <c r="O68" i="72"/>
  <c r="O104" i="72" s="1"/>
  <c r="O113" i="72" s="1"/>
  <c r="O126" i="72" s="1"/>
  <c r="S67" i="72"/>
  <c r="S103" i="72" s="1"/>
  <c r="S112" i="72" s="1"/>
  <c r="S125" i="72" s="1"/>
  <c r="W66" i="72"/>
  <c r="W102" i="72" s="1"/>
  <c r="W111" i="72" s="1"/>
  <c r="W124" i="72" s="1"/>
  <c r="G66" i="72"/>
  <c r="G102" i="72" s="1"/>
  <c r="G111" i="72" s="1"/>
  <c r="G124" i="72" s="1"/>
  <c r="P69" i="72"/>
  <c r="P105" i="72" s="1"/>
  <c r="P114" i="72" s="1"/>
  <c r="P127" i="72" s="1"/>
  <c r="T68" i="72"/>
  <c r="T104" i="72" s="1"/>
  <c r="T113" i="72" s="1"/>
  <c r="T126" i="72" s="1"/>
  <c r="X67" i="72"/>
  <c r="X103" i="72" s="1"/>
  <c r="X112" i="72" s="1"/>
  <c r="X125" i="72" s="1"/>
  <c r="R69" i="72"/>
  <c r="R105" i="72" s="1"/>
  <c r="R114" i="72" s="1"/>
  <c r="R127" i="72" s="1"/>
  <c r="R67" i="72"/>
  <c r="R103" i="72" s="1"/>
  <c r="R112" i="72" s="1"/>
  <c r="R125" i="72" s="1"/>
  <c r="U69" i="72"/>
  <c r="U105" i="72" s="1"/>
  <c r="U114" i="72" s="1"/>
  <c r="U127" i="72" s="1"/>
  <c r="L66" i="72"/>
  <c r="L102" i="72" s="1"/>
  <c r="L111" i="72" s="1"/>
  <c r="L124" i="72" s="1"/>
  <c r="M68" i="72"/>
  <c r="M104" i="72" s="1"/>
  <c r="M113" i="72" s="1"/>
  <c r="M126" i="72" s="1"/>
  <c r="E66" i="72"/>
  <c r="E102" i="72" s="1"/>
  <c r="E111" i="72" s="1"/>
  <c r="E124" i="72" s="1"/>
  <c r="G69" i="72"/>
  <c r="G105" i="72" s="1"/>
  <c r="G114" i="72" s="1"/>
  <c r="G127" i="72" s="1"/>
  <c r="H67" i="72"/>
  <c r="H103" i="72" s="1"/>
  <c r="H112" i="72" s="1"/>
  <c r="H125" i="72" s="1"/>
  <c r="S69" i="72"/>
  <c r="S105" i="72" s="1"/>
  <c r="S114" i="72" s="1"/>
  <c r="S127" i="72" s="1"/>
  <c r="L69" i="72"/>
  <c r="L105" i="72" s="1"/>
  <c r="L114" i="72" s="1"/>
  <c r="L127" i="72" s="1"/>
  <c r="P68" i="72"/>
  <c r="P104" i="72" s="1"/>
  <c r="P113" i="72" s="1"/>
  <c r="P126" i="72" s="1"/>
  <c r="T67" i="72"/>
  <c r="T103" i="72" s="1"/>
  <c r="T112" i="72" s="1"/>
  <c r="T125" i="72" s="1"/>
  <c r="N69" i="72"/>
  <c r="N105" i="72" s="1"/>
  <c r="N114" i="72" s="1"/>
  <c r="N127" i="72" s="1"/>
  <c r="N68" i="72"/>
  <c r="N104" i="72" s="1"/>
  <c r="N113" i="72" s="1"/>
  <c r="N126" i="72" s="1"/>
  <c r="N67" i="72"/>
  <c r="N103" i="72" s="1"/>
  <c r="N112" i="72" s="1"/>
  <c r="N125" i="72" s="1"/>
  <c r="J66" i="72"/>
  <c r="J102" i="72" s="1"/>
  <c r="Q69" i="72"/>
  <c r="Q105" i="72" s="1"/>
  <c r="Q114" i="72" s="1"/>
  <c r="Q127" i="72" s="1"/>
  <c r="N66" i="72"/>
  <c r="N102" i="72" s="1"/>
  <c r="N111" i="72" s="1"/>
  <c r="N124" i="72" s="1"/>
  <c r="I68" i="72"/>
  <c r="I104" i="72" s="1"/>
  <c r="I113" i="72" s="1"/>
  <c r="I126" i="72" s="1"/>
  <c r="M67" i="72"/>
  <c r="M103" i="72" s="1"/>
  <c r="M112" i="72" s="1"/>
  <c r="M125" i="72" s="1"/>
  <c r="Q66" i="72"/>
  <c r="Q102" i="72" s="1"/>
  <c r="Q111" i="72" s="1"/>
  <c r="Q124" i="72" s="1"/>
  <c r="L67" i="72"/>
  <c r="L103" i="72" s="1"/>
  <c r="L112" i="72" s="1"/>
  <c r="L125" i="72" s="1"/>
  <c r="W68" i="72"/>
  <c r="W104" i="72" s="1"/>
  <c r="W113" i="72" s="1"/>
  <c r="W126" i="72" s="1"/>
  <c r="G68" i="72"/>
  <c r="G104" i="72" s="1"/>
  <c r="G113" i="72" s="1"/>
  <c r="G126" i="72" s="1"/>
  <c r="K67" i="72"/>
  <c r="K103" i="72" s="1"/>
  <c r="K112" i="72" s="1"/>
  <c r="K125" i="72" s="1"/>
  <c r="O66" i="72"/>
  <c r="O102" i="72" s="1"/>
  <c r="P66" i="72"/>
  <c r="P102" i="72" s="1"/>
  <c r="W67" i="72"/>
  <c r="W103" i="72" s="1"/>
  <c r="W112" i="72" s="1"/>
  <c r="W125" i="72" s="1"/>
  <c r="R68" i="72"/>
  <c r="R104" i="72" s="1"/>
  <c r="R113" i="72" s="1"/>
  <c r="R126" i="72" s="1"/>
  <c r="R66" i="72"/>
  <c r="R102" i="72" s="1"/>
  <c r="E69" i="72"/>
  <c r="E105" i="72" s="1"/>
  <c r="E114" i="72" s="1"/>
  <c r="E127" i="72" s="1"/>
  <c r="Q67" i="72"/>
  <c r="Q103" i="72" s="1"/>
  <c r="Q112" i="72" s="1"/>
  <c r="Q125" i="72" s="1"/>
  <c r="U66" i="72"/>
  <c r="U102" i="72" s="1"/>
  <c r="U111" i="72" s="1"/>
  <c r="U124" i="72" s="1"/>
  <c r="K68" i="72"/>
  <c r="K104" i="72" s="1"/>
  <c r="K113" i="72" s="1"/>
  <c r="K126" i="72" s="1"/>
  <c r="S66" i="72"/>
  <c r="S102" i="72" s="1"/>
  <c r="D98" i="72"/>
  <c r="D67" i="72"/>
  <c r="D103" i="72" s="1"/>
  <c r="E98" i="72"/>
  <c r="K98" i="72"/>
  <c r="W98" i="72"/>
  <c r="P98" i="72"/>
  <c r="F98" i="72"/>
  <c r="Q81" i="54"/>
  <c r="D36" i="49"/>
  <c r="D37" i="49"/>
  <c r="E6" i="72"/>
  <c r="F6" i="72" s="1"/>
  <c r="G6" i="72" s="1"/>
  <c r="H6" i="72" s="1"/>
  <c r="I6" i="72" s="1"/>
  <c r="J6" i="72" s="1"/>
  <c r="K6" i="72" s="1"/>
  <c r="L6" i="72" s="1"/>
  <c r="M6" i="72" s="1"/>
  <c r="N6" i="72" s="1"/>
  <c r="O6" i="72" s="1"/>
  <c r="P6" i="72" s="1"/>
  <c r="Q6" i="72" s="1"/>
  <c r="R6" i="72" s="1"/>
  <c r="S6" i="72" s="1"/>
  <c r="T6" i="72" s="1"/>
  <c r="U6" i="72" s="1"/>
  <c r="V6" i="72" s="1"/>
  <c r="W6" i="72" s="1"/>
  <c r="C27" i="49"/>
  <c r="F146" i="56"/>
  <c r="D164" i="56" s="1"/>
  <c r="F210" i="56"/>
  <c r="F272" i="56"/>
  <c r="F334" i="56"/>
  <c r="G35" i="52"/>
  <c r="F35" i="52"/>
  <c r="E6" i="70"/>
  <c r="D6" i="62"/>
  <c r="E68" i="68"/>
  <c r="I21" i="68"/>
  <c r="I22" i="68"/>
  <c r="I23" i="68"/>
  <c r="I24" i="68"/>
  <c r="I25" i="68"/>
  <c r="I26" i="68"/>
  <c r="I27" i="68"/>
  <c r="I28" i="68"/>
  <c r="I29" i="68"/>
  <c r="I30" i="68"/>
  <c r="I31" i="68"/>
  <c r="I32" i="68"/>
  <c r="I33" i="68"/>
  <c r="I34" i="68"/>
  <c r="I35" i="68"/>
  <c r="I36" i="68"/>
  <c r="I37" i="68"/>
  <c r="I38" i="68"/>
  <c r="I39" i="68"/>
  <c r="I40" i="68"/>
  <c r="I41" i="68"/>
  <c r="I42" i="68"/>
  <c r="I43" i="68"/>
  <c r="D65" i="68"/>
  <c r="D66" i="68"/>
  <c r="F66" i="68" s="1"/>
  <c r="D67" i="68"/>
  <c r="F67" i="68" s="1"/>
  <c r="D68" i="68"/>
  <c r="F68" i="68" s="1"/>
  <c r="E69" i="68"/>
  <c r="E70" i="68"/>
  <c r="E71" i="68"/>
  <c r="E72" i="68"/>
  <c r="E73" i="68"/>
  <c r="E74" i="68"/>
  <c r="E75" i="68"/>
  <c r="E76" i="68"/>
  <c r="E77" i="68"/>
  <c r="E78" i="68"/>
  <c r="E79" i="68"/>
  <c r="E80" i="68"/>
  <c r="E81" i="68"/>
  <c r="E82" i="68"/>
  <c r="E83" i="68"/>
  <c r="E84" i="68"/>
  <c r="E85" i="68"/>
  <c r="E86" i="68"/>
  <c r="E87" i="68"/>
  <c r="L61" i="68"/>
  <c r="K61" i="68"/>
  <c r="J61" i="68"/>
  <c r="I61" i="68"/>
  <c r="H61" i="68"/>
  <c r="G61" i="68"/>
  <c r="F93" i="52"/>
  <c r="E93" i="52"/>
  <c r="M10" i="60"/>
  <c r="G43" i="47"/>
  <c r="G44" i="47"/>
  <c r="G45" i="47"/>
  <c r="G46" i="47"/>
  <c r="G47" i="47"/>
  <c r="G48" i="47"/>
  <c r="G49" i="47"/>
  <c r="G50" i="47"/>
  <c r="C143" i="2"/>
  <c r="H10" i="60" s="1"/>
  <c r="F43" i="47"/>
  <c r="F44" i="47"/>
  <c r="F45" i="47"/>
  <c r="F46" i="47"/>
  <c r="F47" i="47"/>
  <c r="F48" i="47"/>
  <c r="F49" i="47"/>
  <c r="F50" i="47"/>
  <c r="C144" i="2"/>
  <c r="I10" i="60" s="1"/>
  <c r="E43" i="47"/>
  <c r="E44" i="47"/>
  <c r="E45" i="47"/>
  <c r="E46" i="47"/>
  <c r="E47" i="47"/>
  <c r="E48" i="47"/>
  <c r="E49" i="47"/>
  <c r="E50" i="47"/>
  <c r="C145" i="2"/>
  <c r="D43" i="47"/>
  <c r="D44" i="47"/>
  <c r="D45" i="47"/>
  <c r="D46" i="47"/>
  <c r="D47" i="47"/>
  <c r="D48" i="47"/>
  <c r="D49" i="47"/>
  <c r="D50" i="47"/>
  <c r="C146" i="2"/>
  <c r="K10" i="60" s="1"/>
  <c r="H43" i="47"/>
  <c r="H44" i="47"/>
  <c r="H45" i="47"/>
  <c r="H46" i="47"/>
  <c r="H47" i="47"/>
  <c r="H48" i="47"/>
  <c r="H49" i="47"/>
  <c r="H50" i="47"/>
  <c r="C147" i="2"/>
  <c r="L10" i="60" s="1"/>
  <c r="B7" i="70"/>
  <c r="B6" i="70"/>
  <c r="C20" i="51"/>
  <c r="C126" i="2"/>
  <c r="C135" i="2"/>
  <c r="E135" i="2" s="1"/>
  <c r="E60" i="67"/>
  <c r="E59" i="67"/>
  <c r="I49" i="67"/>
  <c r="H49" i="67"/>
  <c r="G49" i="67"/>
  <c r="F49" i="67"/>
  <c r="E49" i="67"/>
  <c r="D49" i="67"/>
  <c r="C49" i="67"/>
  <c r="I48" i="67"/>
  <c r="H48" i="67"/>
  <c r="G48" i="67"/>
  <c r="F48" i="67"/>
  <c r="E48" i="67"/>
  <c r="D48" i="67"/>
  <c r="C48" i="67"/>
  <c r="I47" i="67"/>
  <c r="H47" i="67"/>
  <c r="G47" i="67"/>
  <c r="F47" i="67"/>
  <c r="E47" i="67"/>
  <c r="D47" i="67"/>
  <c r="C47" i="67"/>
  <c r="I46" i="67"/>
  <c r="H46" i="67"/>
  <c r="G46" i="67"/>
  <c r="G44" i="67"/>
  <c r="G45" i="67"/>
  <c r="F46" i="67"/>
  <c r="E46" i="67"/>
  <c r="D46" i="67"/>
  <c r="C46" i="67"/>
  <c r="C45" i="67"/>
  <c r="I45" i="67"/>
  <c r="H45" i="67"/>
  <c r="H50" i="67" s="1"/>
  <c r="F45" i="67"/>
  <c r="E45" i="67"/>
  <c r="D45" i="67"/>
  <c r="I44" i="67"/>
  <c r="H44" i="67"/>
  <c r="F44" i="67"/>
  <c r="E44" i="67"/>
  <c r="D44" i="67"/>
  <c r="C44" i="67"/>
  <c r="I43" i="67"/>
  <c r="I50" i="67" s="1"/>
  <c r="H92" i="67" s="1"/>
  <c r="H43" i="67"/>
  <c r="G43" i="67"/>
  <c r="F43" i="67"/>
  <c r="E43" i="67"/>
  <c r="E50" i="67" s="1"/>
  <c r="E92" i="67" s="1"/>
  <c r="D43" i="67"/>
  <c r="C43" i="67"/>
  <c r="I37" i="67"/>
  <c r="H37" i="67"/>
  <c r="G37" i="67"/>
  <c r="F37" i="67"/>
  <c r="E37" i="67"/>
  <c r="D37" i="67"/>
  <c r="C37" i="67"/>
  <c r="G6" i="52"/>
  <c r="F6" i="52"/>
  <c r="G179" i="52"/>
  <c r="F179" i="52"/>
  <c r="B174" i="52"/>
  <c r="F150" i="52"/>
  <c r="E150" i="52"/>
  <c r="B117" i="52"/>
  <c r="J122" i="52"/>
  <c r="I122" i="52"/>
  <c r="G64" i="52"/>
  <c r="F64" i="52"/>
  <c r="B7" i="62"/>
  <c r="B6" i="62"/>
  <c r="C21" i="51"/>
  <c r="C16" i="2" s="1"/>
  <c r="E16" i="2" s="1"/>
  <c r="D7" i="62" s="1"/>
  <c r="E21" i="51"/>
  <c r="D21" i="51"/>
  <c r="E20" i="51"/>
  <c r="D20" i="51"/>
  <c r="B6" i="60"/>
  <c r="B7" i="60"/>
  <c r="E11" i="60"/>
  <c r="E10" i="60"/>
  <c r="E9" i="60"/>
  <c r="E8" i="60"/>
  <c r="E7" i="60"/>
  <c r="B12" i="60"/>
  <c r="B11" i="60"/>
  <c r="B10" i="60"/>
  <c r="B9" i="60"/>
  <c r="B8" i="60"/>
  <c r="C43" i="47"/>
  <c r="C44" i="47"/>
  <c r="C134" i="2"/>
  <c r="E134" i="2" s="1"/>
  <c r="C140" i="2"/>
  <c r="E140" i="2" s="1"/>
  <c r="N40" i="36"/>
  <c r="M40" i="36"/>
  <c r="I9" i="50"/>
  <c r="H9" i="50"/>
  <c r="G9" i="50"/>
  <c r="I8" i="50"/>
  <c r="H8" i="50"/>
  <c r="G8" i="50"/>
  <c r="I49" i="47"/>
  <c r="C49" i="47"/>
  <c r="I48" i="47"/>
  <c r="C48" i="47"/>
  <c r="I47" i="47"/>
  <c r="C47" i="47"/>
  <c r="I46" i="47"/>
  <c r="C46" i="47"/>
  <c r="I45" i="47"/>
  <c r="C45" i="47"/>
  <c r="I44" i="47"/>
  <c r="I43" i="47"/>
  <c r="E155" i="2"/>
  <c r="C10" i="28"/>
  <c r="I37" i="47"/>
  <c r="H37" i="47"/>
  <c r="G37" i="47"/>
  <c r="F37" i="47"/>
  <c r="E37" i="47"/>
  <c r="D37" i="47"/>
  <c r="C37" i="47"/>
  <c r="I50" i="47"/>
  <c r="C50" i="47"/>
  <c r="D82" i="2"/>
  <c r="D83" i="2" s="1"/>
  <c r="D84" i="2" s="1"/>
  <c r="D85" i="2" s="1"/>
  <c r="D86" i="2" s="1"/>
  <c r="D87" i="2" s="1"/>
  <c r="D88" i="2" s="1"/>
  <c r="D89" i="2" s="1"/>
  <c r="D90" i="2" s="1"/>
  <c r="D91" i="2" s="1"/>
  <c r="D92" i="2" s="1"/>
  <c r="D93" i="2" s="1"/>
  <c r="D94" i="2" s="1"/>
  <c r="D95" i="2" s="1"/>
  <c r="D96" i="2" s="1"/>
  <c r="D97" i="2" s="1"/>
  <c r="D98" i="2" s="1"/>
  <c r="D99" i="2" s="1"/>
  <c r="D100" i="2" s="1"/>
  <c r="D101" i="2" s="1"/>
  <c r="D102" i="2" s="1"/>
  <c r="D103" i="2" s="1"/>
  <c r="D104" i="2" s="1"/>
  <c r="D105" i="2" s="1"/>
  <c r="D106" i="2" s="1"/>
  <c r="D107" i="2" s="1"/>
  <c r="D108" i="2" s="1"/>
  <c r="D109" i="2" s="1"/>
  <c r="D110" i="2" s="1"/>
  <c r="D111" i="2" s="1"/>
  <c r="D112" i="2" s="1"/>
  <c r="D113" i="2" s="1"/>
  <c r="D114" i="2" s="1"/>
  <c r="D115" i="2" s="1"/>
  <c r="D116" i="2" s="1"/>
  <c r="C74" i="2"/>
  <c r="C73" i="2"/>
  <c r="C72" i="2"/>
  <c r="C71" i="2"/>
  <c r="C65" i="2"/>
  <c r="J31" i="44"/>
  <c r="J30" i="44"/>
  <c r="J29" i="44"/>
  <c r="J28" i="44"/>
  <c r="J27" i="44"/>
  <c r="J26" i="44"/>
  <c r="E26" i="44"/>
  <c r="E32" i="44"/>
  <c r="E31" i="44"/>
  <c r="E30" i="44"/>
  <c r="C68" i="2"/>
  <c r="E29" i="44"/>
  <c r="C67" i="2"/>
  <c r="E28" i="44"/>
  <c r="C66" i="2"/>
  <c r="E27" i="44"/>
  <c r="C18" i="44"/>
  <c r="C54" i="2"/>
  <c r="C16" i="44"/>
  <c r="C53" i="2"/>
  <c r="D16" i="44"/>
  <c r="C59" i="2"/>
  <c r="D20" i="44"/>
  <c r="C62" i="2"/>
  <c r="D21" i="44"/>
  <c r="D19" i="44"/>
  <c r="C61" i="2"/>
  <c r="C19" i="44"/>
  <c r="C55" i="2"/>
  <c r="D18" i="44"/>
  <c r="C60" i="2"/>
  <c r="D17" i="44"/>
  <c r="C17" i="44"/>
  <c r="W40" i="36"/>
  <c r="V40" i="36"/>
  <c r="U40" i="36"/>
  <c r="T40" i="36"/>
  <c r="S40" i="36"/>
  <c r="R40" i="36"/>
  <c r="Q40" i="36"/>
  <c r="P40" i="36"/>
  <c r="O40" i="36"/>
  <c r="D22" i="36"/>
  <c r="D23" i="36"/>
  <c r="D32" i="36"/>
  <c r="D31" i="36"/>
  <c r="D30" i="36"/>
  <c r="D29" i="36"/>
  <c r="D28" i="36"/>
  <c r="D27" i="36"/>
  <c r="D26" i="36"/>
  <c r="D25" i="36"/>
  <c r="D24" i="36"/>
  <c r="C130" i="2"/>
  <c r="C139" i="2"/>
  <c r="E139" i="2" s="1"/>
  <c r="C129" i="2"/>
  <c r="C138" i="2"/>
  <c r="E138" i="2" s="1"/>
  <c r="C128" i="2"/>
  <c r="C137" i="2"/>
  <c r="E137" i="2" s="1"/>
  <c r="C127" i="2"/>
  <c r="C136" i="2"/>
  <c r="E136" i="2" s="1"/>
  <c r="D50" i="67"/>
  <c r="F92" i="67" s="1"/>
  <c r="X322" i="56"/>
  <c r="X127" i="56"/>
  <c r="X325" i="56"/>
  <c r="X126" i="56"/>
  <c r="X197" i="56"/>
  <c r="X254" i="56"/>
  <c r="X261" i="56"/>
  <c r="X196" i="56"/>
  <c r="X255" i="56"/>
  <c r="X131" i="56"/>
  <c r="X188" i="56"/>
  <c r="X190" i="56"/>
  <c r="X195" i="56"/>
  <c r="X260" i="56"/>
  <c r="X263" i="56"/>
  <c r="X189" i="56"/>
  <c r="X323" i="56"/>
  <c r="X198" i="56"/>
  <c r="X133" i="56"/>
  <c r="X191" i="56"/>
  <c r="X256" i="56"/>
  <c r="X318" i="56"/>
  <c r="X316" i="56"/>
  <c r="X125" i="56"/>
  <c r="X253" i="56"/>
  <c r="X317" i="56"/>
  <c r="X134" i="56"/>
  <c r="X132" i="56"/>
  <c r="X124" i="56"/>
  <c r="X315" i="56"/>
  <c r="X324" i="56"/>
  <c r="X262" i="56"/>
  <c r="G322" i="56"/>
  <c r="J322" i="56"/>
  <c r="I125" i="56"/>
  <c r="J325" i="56"/>
  <c r="J191" i="56"/>
  <c r="M131" i="56"/>
  <c r="M316" i="56"/>
  <c r="N317" i="56"/>
  <c r="N188" i="56"/>
  <c r="O263" i="56"/>
  <c r="O131" i="56"/>
  <c r="Q322" i="56"/>
  <c r="S197" i="56"/>
  <c r="S131" i="56"/>
  <c r="T324" i="56"/>
  <c r="T322" i="56"/>
  <c r="W316" i="56"/>
  <c r="W127" i="56"/>
  <c r="W195" i="56"/>
  <c r="U133" i="56"/>
  <c r="U262" i="56"/>
  <c r="U197" i="56"/>
  <c r="T195" i="56"/>
  <c r="R124" i="56"/>
  <c r="R315" i="56"/>
  <c r="P195" i="56"/>
  <c r="P322" i="56"/>
  <c r="O317" i="56"/>
  <c r="F323" i="56"/>
  <c r="K324" i="56"/>
  <c r="F324" i="56"/>
  <c r="W261" i="56"/>
  <c r="S262" i="56"/>
  <c r="R261" i="56"/>
  <c r="P256" i="56"/>
  <c r="P127" i="56"/>
  <c r="O323" i="56"/>
  <c r="N262" i="56"/>
  <c r="I324" i="56"/>
  <c r="I133" i="56"/>
  <c r="E188" i="56"/>
  <c r="E315" i="56"/>
  <c r="E253" i="56"/>
  <c r="I325" i="56"/>
  <c r="F325" i="56"/>
  <c r="J190" i="56"/>
  <c r="J255" i="56"/>
  <c r="E132" i="56"/>
  <c r="E196" i="56"/>
  <c r="E323" i="56"/>
  <c r="E261" i="56"/>
  <c r="W197" i="56"/>
  <c r="V132" i="56"/>
  <c r="V261" i="56"/>
  <c r="V198" i="56"/>
  <c r="V134" i="56"/>
  <c r="V263" i="56"/>
  <c r="V325" i="56"/>
  <c r="T133" i="56"/>
  <c r="T197" i="56"/>
  <c r="T262" i="56"/>
  <c r="S195" i="56"/>
  <c r="R325" i="56"/>
  <c r="R263" i="56"/>
  <c r="Q131" i="56"/>
  <c r="Q260" i="56"/>
  <c r="Q195" i="56"/>
  <c r="P255" i="56"/>
  <c r="P190" i="56"/>
  <c r="N325" i="56"/>
  <c r="N134" i="56"/>
  <c r="M189" i="56"/>
  <c r="M125" i="56"/>
  <c r="M254" i="56"/>
  <c r="M133" i="56"/>
  <c r="M324" i="56"/>
  <c r="L197" i="56"/>
  <c r="L324" i="56"/>
  <c r="M191" i="56"/>
  <c r="M322" i="56"/>
  <c r="M260" i="56"/>
  <c r="M195" i="56"/>
  <c r="I189" i="56"/>
  <c r="I254" i="56"/>
  <c r="I268" i="56" s="1"/>
  <c r="J262" i="56"/>
  <c r="J324" i="56"/>
  <c r="J131" i="56"/>
  <c r="H323" i="56"/>
  <c r="W198" i="56"/>
  <c r="W325" i="56"/>
  <c r="V318" i="56"/>
  <c r="V256" i="56"/>
  <c r="T318" i="56"/>
  <c r="S196" i="56"/>
  <c r="Q255" i="56"/>
  <c r="Q190" i="56"/>
  <c r="N260" i="56"/>
  <c r="L315" i="56"/>
  <c r="K195" i="56"/>
  <c r="M255" i="56"/>
  <c r="I322" i="56"/>
  <c r="K253" i="56"/>
  <c r="K315" i="56"/>
  <c r="K124" i="56"/>
  <c r="K188" i="56"/>
  <c r="E316" i="56"/>
  <c r="E254" i="56"/>
  <c r="E189" i="56"/>
  <c r="E133" i="56"/>
  <c r="E324" i="56"/>
  <c r="E197" i="56"/>
  <c r="E262" i="56"/>
  <c r="U195" i="56"/>
  <c r="T325" i="56"/>
  <c r="T263" i="56"/>
  <c r="T255" i="56"/>
  <c r="S190" i="56"/>
  <c r="Q196" i="56"/>
  <c r="Q261" i="56"/>
  <c r="Q198" i="56"/>
  <c r="O197" i="56"/>
  <c r="N256" i="56"/>
  <c r="L127" i="56"/>
  <c r="M261" i="56"/>
  <c r="M323" i="56"/>
  <c r="J127" i="56"/>
  <c r="J256" i="56"/>
  <c r="M315" i="56"/>
  <c r="I255" i="56"/>
  <c r="I269" i="56" s="1"/>
  <c r="K132" i="56"/>
  <c r="I188" i="56"/>
  <c r="I124" i="56"/>
  <c r="E317" i="56"/>
  <c r="E255" i="56"/>
  <c r="E190" i="56"/>
  <c r="V262" i="56"/>
  <c r="V322" i="56"/>
  <c r="V260" i="56"/>
  <c r="V195" i="56"/>
  <c r="V131" i="56"/>
  <c r="U318" i="56"/>
  <c r="U127" i="56"/>
  <c r="U256" i="56"/>
  <c r="U191" i="56"/>
  <c r="U316" i="56"/>
  <c r="U254" i="56"/>
  <c r="U125" i="56"/>
  <c r="U189" i="56"/>
  <c r="T124" i="56"/>
  <c r="T188" i="56"/>
  <c r="T315" i="56"/>
  <c r="T253" i="56"/>
  <c r="T125" i="56"/>
  <c r="T316" i="56"/>
  <c r="T254" i="56"/>
  <c r="T189" i="56"/>
  <c r="S325" i="56"/>
  <c r="S315" i="56"/>
  <c r="S253" i="56"/>
  <c r="R256" i="56"/>
  <c r="R318" i="56"/>
  <c r="R127" i="56"/>
  <c r="R191" i="56"/>
  <c r="R131" i="56"/>
  <c r="R322" i="56"/>
  <c r="R195" i="56"/>
  <c r="Q318" i="56"/>
  <c r="Q188" i="56"/>
  <c r="Q253" i="56"/>
  <c r="Q124" i="56"/>
  <c r="Q315" i="56"/>
  <c r="P196" i="56"/>
  <c r="P323" i="56"/>
  <c r="P261" i="56"/>
  <c r="P132" i="56"/>
  <c r="P133" i="56"/>
  <c r="P197" i="56"/>
  <c r="P324" i="56"/>
  <c r="P262" i="56"/>
  <c r="O125" i="56"/>
  <c r="O316" i="56"/>
  <c r="O189" i="56"/>
  <c r="O254" i="56"/>
  <c r="N323" i="56"/>
  <c r="N132" i="56"/>
  <c r="N196" i="56"/>
  <c r="L134" i="56"/>
  <c r="L198" i="56"/>
  <c r="L325" i="56"/>
  <c r="K134" i="56"/>
  <c r="K325" i="56"/>
  <c r="H322" i="56"/>
  <c r="J132" i="56"/>
  <c r="J261" i="56"/>
  <c r="J323" i="56"/>
  <c r="E195" i="56"/>
  <c r="E260" i="56"/>
  <c r="E322" i="56"/>
  <c r="E131" i="56"/>
  <c r="E256" i="56"/>
  <c r="E318" i="56"/>
  <c r="E191" i="56"/>
  <c r="E127" i="56"/>
  <c r="L254" i="56"/>
  <c r="L125" i="56"/>
  <c r="L189" i="56"/>
  <c r="L316" i="56"/>
  <c r="J198" i="56"/>
  <c r="J263" i="56"/>
  <c r="J134" i="56"/>
  <c r="E325" i="56"/>
  <c r="E198" i="56"/>
  <c r="E263" i="56"/>
  <c r="E134" i="56"/>
  <c r="I196" i="56"/>
  <c r="I132" i="56"/>
  <c r="I323" i="56"/>
  <c r="K198" i="56"/>
  <c r="F322" i="56"/>
  <c r="Y16" i="56"/>
  <c r="Y20" i="56"/>
  <c r="E125" i="56"/>
  <c r="E124" i="56"/>
  <c r="E126" i="56"/>
  <c r="F91" i="68" l="1"/>
  <c r="E91" i="68"/>
  <c r="V162" i="72"/>
  <c r="V146" i="72"/>
  <c r="V152" i="72"/>
  <c r="V142" i="72"/>
  <c r="V155" i="72"/>
  <c r="V151" i="72"/>
  <c r="V153" i="72"/>
  <c r="V148" i="72"/>
  <c r="V158" i="72"/>
  <c r="V149" i="72"/>
  <c r="V160" i="72"/>
  <c r="V144" i="72"/>
  <c r="V147" i="72"/>
  <c r="V154" i="72"/>
  <c r="V161" i="72"/>
  <c r="V145" i="72"/>
  <c r="V156" i="72"/>
  <c r="V159" i="72"/>
  <c r="V143" i="72"/>
  <c r="V150" i="72"/>
  <c r="E267" i="56"/>
  <c r="E276" i="56" s="1"/>
  <c r="E270" i="56"/>
  <c r="E279" i="56" s="1"/>
  <c r="X290" i="56"/>
  <c r="X353" i="56"/>
  <c r="D91" i="68"/>
  <c r="H65" i="68"/>
  <c r="B22" i="28"/>
  <c r="D22" i="28" s="1"/>
  <c r="I47" i="68"/>
  <c r="H93" i="54"/>
  <c r="L38" i="52" s="1"/>
  <c r="H95" i="54"/>
  <c r="L40" i="52" s="1"/>
  <c r="H103" i="54"/>
  <c r="L48" i="52" s="1"/>
  <c r="H111" i="54"/>
  <c r="L56" i="52" s="1"/>
  <c r="H96" i="54"/>
  <c r="L41" i="52" s="1"/>
  <c r="H104" i="54"/>
  <c r="L49" i="52" s="1"/>
  <c r="H112" i="54"/>
  <c r="L57" i="52" s="1"/>
  <c r="H99" i="54"/>
  <c r="L44" i="52" s="1"/>
  <c r="H107" i="54"/>
  <c r="L52" i="52" s="1"/>
  <c r="H92" i="54"/>
  <c r="L37" i="52" s="1"/>
  <c r="H100" i="54"/>
  <c r="L45" i="52" s="1"/>
  <c r="H108" i="54"/>
  <c r="L53" i="52" s="1"/>
  <c r="H98" i="54"/>
  <c r="L43" i="52" s="1"/>
  <c r="H101" i="54"/>
  <c r="L46" i="52" s="1"/>
  <c r="H110" i="54"/>
  <c r="L55" i="52" s="1"/>
  <c r="H94" i="54"/>
  <c r="L39" i="52" s="1"/>
  <c r="H97" i="54"/>
  <c r="L42" i="52" s="1"/>
  <c r="H106" i="54"/>
  <c r="L51" i="52" s="1"/>
  <c r="H109" i="54"/>
  <c r="L54" i="52" s="1"/>
  <c r="H102" i="54"/>
  <c r="L47" i="52" s="1"/>
  <c r="H105" i="54"/>
  <c r="L50" i="52" s="1"/>
  <c r="E268" i="56"/>
  <c r="E277" i="56" s="1"/>
  <c r="E290" i="56"/>
  <c r="X228" i="56"/>
  <c r="E269" i="56"/>
  <c r="E278" i="56" s="1"/>
  <c r="E353" i="56"/>
  <c r="E228" i="56"/>
  <c r="AC83" i="54"/>
  <c r="K230" i="52" s="1"/>
  <c r="X18" i="54"/>
  <c r="X36" i="54" s="1"/>
  <c r="X52" i="54" s="1"/>
  <c r="W18" i="54"/>
  <c r="W36" i="54" s="1"/>
  <c r="W52" i="54" s="1"/>
  <c r="Y18" i="54"/>
  <c r="Y36" i="54" s="1"/>
  <c r="Y52" i="54" s="1"/>
  <c r="P60" i="54" a="1"/>
  <c r="Z60" i="54" a="1"/>
  <c r="T18" i="54"/>
  <c r="T36" i="54" s="1"/>
  <c r="T52" i="54" s="1"/>
  <c r="R18" i="54"/>
  <c r="R36" i="54" s="1"/>
  <c r="R52" i="54" s="1"/>
  <c r="Q18" i="54"/>
  <c r="Q36" i="54" s="1"/>
  <c r="Q52" i="54" s="1"/>
  <c r="K18" i="54"/>
  <c r="K36" i="54" s="1"/>
  <c r="K52" i="54" s="1"/>
  <c r="M18" i="54"/>
  <c r="M36" i="54" s="1"/>
  <c r="M52" i="54" s="1"/>
  <c r="U18" i="54"/>
  <c r="U36" i="54" s="1"/>
  <c r="U52" i="54" s="1"/>
  <c r="F18" i="54"/>
  <c r="F36" i="54" s="1"/>
  <c r="F52" i="54" s="1"/>
  <c r="S18" i="54"/>
  <c r="S36" i="54" s="1"/>
  <c r="S52" i="54" s="1"/>
  <c r="J18" i="54"/>
  <c r="J36" i="54" s="1"/>
  <c r="J52" i="54" s="1"/>
  <c r="I18" i="54"/>
  <c r="I36" i="54" s="1"/>
  <c r="I52" i="54" s="1"/>
  <c r="L18" i="54"/>
  <c r="L36" i="54" s="1"/>
  <c r="L52" i="54" s="1"/>
  <c r="G18" i="54"/>
  <c r="G36" i="54" s="1"/>
  <c r="G52" i="54" s="1"/>
  <c r="P18" i="54"/>
  <c r="P36" i="54" s="1"/>
  <c r="P52" i="54" s="1"/>
  <c r="N18" i="54"/>
  <c r="N36" i="54" s="1"/>
  <c r="N52" i="54" s="1"/>
  <c r="O18" i="54"/>
  <c r="O36" i="54" s="1"/>
  <c r="O52" i="54" s="1"/>
  <c r="V18" i="54"/>
  <c r="V36" i="54" s="1"/>
  <c r="V52" i="54" s="1"/>
  <c r="H18" i="54"/>
  <c r="H36" i="54" s="1"/>
  <c r="H52" i="54" s="1"/>
  <c r="AC81" i="54"/>
  <c r="X40" i="62"/>
  <c r="W40" i="62"/>
  <c r="Y40" i="62"/>
  <c r="O40" i="62"/>
  <c r="T40" i="62"/>
  <c r="Q40" i="62"/>
  <c r="R40" i="62"/>
  <c r="L40" i="62"/>
  <c r="S40" i="62"/>
  <c r="V40" i="62"/>
  <c r="G40" i="62"/>
  <c r="H40" i="62"/>
  <c r="I40" i="62"/>
  <c r="J40" i="62"/>
  <c r="F40" i="62"/>
  <c r="K40" i="62"/>
  <c r="P40" i="62"/>
  <c r="M40" i="62"/>
  <c r="U40" i="62"/>
  <c r="N40" i="62"/>
  <c r="X16" i="62"/>
  <c r="X22" i="62"/>
  <c r="Y28" i="62"/>
  <c r="X28" i="62"/>
  <c r="Y22" i="62"/>
  <c r="W22" i="62"/>
  <c r="W28" i="62"/>
  <c r="W16" i="62"/>
  <c r="Y16" i="62"/>
  <c r="I22" i="62"/>
  <c r="S22" i="62"/>
  <c r="T22" i="62"/>
  <c r="R28" i="62"/>
  <c r="M22" i="62"/>
  <c r="F22" i="62"/>
  <c r="P28" i="62"/>
  <c r="V22" i="62"/>
  <c r="U22" i="62"/>
  <c r="I28" i="62"/>
  <c r="F28" i="62"/>
  <c r="V28" i="62"/>
  <c r="Q22" i="62"/>
  <c r="G22" i="62"/>
  <c r="G28" i="62"/>
  <c r="N22" i="62"/>
  <c r="T28" i="62"/>
  <c r="O28" i="62"/>
  <c r="H28" i="62"/>
  <c r="K22" i="62"/>
  <c r="H22" i="62"/>
  <c r="J28" i="62"/>
  <c r="U28" i="62"/>
  <c r="K28" i="62"/>
  <c r="R22" i="62"/>
  <c r="M28" i="62"/>
  <c r="S28" i="62"/>
  <c r="O22" i="62"/>
  <c r="L22" i="62"/>
  <c r="N28" i="62"/>
  <c r="P22" i="62"/>
  <c r="L28" i="62"/>
  <c r="Q28" i="62"/>
  <c r="J22" i="62"/>
  <c r="K16" i="62"/>
  <c r="H16" i="62"/>
  <c r="J16" i="62"/>
  <c r="U16" i="62"/>
  <c r="P16" i="62"/>
  <c r="S16" i="62"/>
  <c r="Q16" i="62"/>
  <c r="G16" i="62"/>
  <c r="L16" i="62"/>
  <c r="N16" i="62"/>
  <c r="M16" i="62"/>
  <c r="V16" i="62"/>
  <c r="O16" i="62"/>
  <c r="T16" i="62"/>
  <c r="I16" i="62"/>
  <c r="F16" i="62"/>
  <c r="R16" i="62"/>
  <c r="K153" i="52"/>
  <c r="K157" i="52"/>
  <c r="K161" i="52"/>
  <c r="K165" i="52"/>
  <c r="K171" i="52"/>
  <c r="K167" i="52"/>
  <c r="K155" i="52"/>
  <c r="K159" i="52"/>
  <c r="K163" i="52"/>
  <c r="K168" i="52"/>
  <c r="K152" i="52"/>
  <c r="K156" i="52"/>
  <c r="K160" i="52"/>
  <c r="K164" i="52"/>
  <c r="K169" i="52"/>
  <c r="K170" i="52"/>
  <c r="K154" i="52"/>
  <c r="K158" i="52"/>
  <c r="K162" i="52"/>
  <c r="K166" i="52"/>
  <c r="K172" i="52"/>
  <c r="L152" i="52"/>
  <c r="L156" i="52"/>
  <c r="L160" i="52"/>
  <c r="L164" i="52"/>
  <c r="L168" i="52"/>
  <c r="L172" i="52"/>
  <c r="L162" i="52"/>
  <c r="L170" i="52"/>
  <c r="L155" i="52"/>
  <c r="L159" i="52"/>
  <c r="L163" i="52"/>
  <c r="L167" i="52"/>
  <c r="L171" i="52"/>
  <c r="L153" i="52"/>
  <c r="L157" i="52"/>
  <c r="L161" i="52"/>
  <c r="L165" i="52"/>
  <c r="L169" i="52"/>
  <c r="L154" i="52"/>
  <c r="L158" i="52"/>
  <c r="L166" i="52"/>
  <c r="U143" i="72"/>
  <c r="U147" i="72"/>
  <c r="U151" i="72"/>
  <c r="U155" i="72"/>
  <c r="U159" i="72"/>
  <c r="U144" i="72"/>
  <c r="U148" i="72"/>
  <c r="U152" i="72"/>
  <c r="U156" i="72"/>
  <c r="U160" i="72"/>
  <c r="U145" i="72"/>
  <c r="U149" i="72"/>
  <c r="U153" i="72"/>
  <c r="U157" i="72"/>
  <c r="U161" i="72"/>
  <c r="U142" i="72"/>
  <c r="U146" i="72"/>
  <c r="U150" i="72"/>
  <c r="U154" i="72"/>
  <c r="U158" i="72"/>
  <c r="U162" i="72"/>
  <c r="X145" i="72"/>
  <c r="M145" i="72" s="1"/>
  <c r="X149" i="72"/>
  <c r="M149" i="72" s="1"/>
  <c r="X153" i="72"/>
  <c r="M153" i="72" s="1"/>
  <c r="X157" i="72"/>
  <c r="M157" i="72" s="1"/>
  <c r="X161" i="72"/>
  <c r="M161" i="72" s="1"/>
  <c r="X142" i="72"/>
  <c r="M142" i="72" s="1"/>
  <c r="X146" i="72"/>
  <c r="M146" i="72" s="1"/>
  <c r="X150" i="72"/>
  <c r="M150" i="72" s="1"/>
  <c r="X154" i="72"/>
  <c r="M154" i="72" s="1"/>
  <c r="X158" i="72"/>
  <c r="M158" i="72" s="1"/>
  <c r="X162" i="72"/>
  <c r="M162" i="72" s="1"/>
  <c r="X143" i="72"/>
  <c r="M143" i="72" s="1"/>
  <c r="X147" i="72"/>
  <c r="M147" i="72" s="1"/>
  <c r="X151" i="72"/>
  <c r="M151" i="72" s="1"/>
  <c r="X155" i="72"/>
  <c r="M155" i="72" s="1"/>
  <c r="X159" i="72"/>
  <c r="M159" i="72" s="1"/>
  <c r="X144" i="72"/>
  <c r="M144" i="72" s="1"/>
  <c r="X148" i="72"/>
  <c r="M148" i="72" s="1"/>
  <c r="X152" i="72"/>
  <c r="M152" i="72" s="1"/>
  <c r="X156" i="72"/>
  <c r="M156" i="72" s="1"/>
  <c r="X160" i="72"/>
  <c r="M160" i="72" s="1"/>
  <c r="W142" i="72"/>
  <c r="W149" i="72"/>
  <c r="W153" i="72"/>
  <c r="W157" i="72"/>
  <c r="W145" i="72"/>
  <c r="W161" i="72"/>
  <c r="W160" i="72"/>
  <c r="W144" i="72"/>
  <c r="W147" i="72"/>
  <c r="W154" i="72"/>
  <c r="W156" i="72"/>
  <c r="W159" i="72"/>
  <c r="W143" i="72"/>
  <c r="W150" i="72"/>
  <c r="W152" i="72"/>
  <c r="W155" i="72"/>
  <c r="W162" i="72"/>
  <c r="W165" i="72" s="1"/>
  <c r="K237" i="52" s="1"/>
  <c r="W146" i="72"/>
  <c r="W148" i="72"/>
  <c r="W151" i="72"/>
  <c r="W158" i="72"/>
  <c r="U128" i="72"/>
  <c r="I82" i="68"/>
  <c r="K82" i="68" s="1"/>
  <c r="C39" i="28"/>
  <c r="D39" i="28" s="1"/>
  <c r="I74" i="68"/>
  <c r="K74" i="68" s="1"/>
  <c r="C31" i="28"/>
  <c r="D31" i="28" s="1"/>
  <c r="I85" i="68"/>
  <c r="K85" i="68" s="1"/>
  <c r="C42" i="28"/>
  <c r="D42" i="28" s="1"/>
  <c r="I77" i="68"/>
  <c r="K77" i="68" s="1"/>
  <c r="C34" i="28"/>
  <c r="D34" i="28" s="1"/>
  <c r="I84" i="68"/>
  <c r="K84" i="68" s="1"/>
  <c r="C41" i="28"/>
  <c r="D41" i="28" s="1"/>
  <c r="J80" i="68"/>
  <c r="L80" i="68" s="1"/>
  <c r="C37" i="28"/>
  <c r="D37" i="28" s="1"/>
  <c r="I76" i="68"/>
  <c r="K76" i="68" s="1"/>
  <c r="C33" i="28"/>
  <c r="D33" i="28" s="1"/>
  <c r="J72" i="68"/>
  <c r="L72" i="68" s="1"/>
  <c r="C29" i="28"/>
  <c r="D29" i="28" s="1"/>
  <c r="I68" i="68"/>
  <c r="C25" i="28"/>
  <c r="J86" i="68"/>
  <c r="L86" i="68" s="1"/>
  <c r="C43" i="28"/>
  <c r="D43" i="28" s="1"/>
  <c r="I78" i="68"/>
  <c r="K78" i="68" s="1"/>
  <c r="C35" i="28"/>
  <c r="D35" i="28" s="1"/>
  <c r="I70" i="68"/>
  <c r="K70" i="68" s="1"/>
  <c r="C27" i="28"/>
  <c r="D27" i="28" s="1"/>
  <c r="I81" i="68"/>
  <c r="K81" i="68" s="1"/>
  <c r="C38" i="28"/>
  <c r="D38" i="28" s="1"/>
  <c r="I73" i="68"/>
  <c r="K73" i="68" s="1"/>
  <c r="C30" i="28"/>
  <c r="D30" i="28" s="1"/>
  <c r="I69" i="68"/>
  <c r="K69" i="68" s="1"/>
  <c r="C26" i="28"/>
  <c r="D26" i="28" s="1"/>
  <c r="J87" i="68"/>
  <c r="L87" i="68" s="1"/>
  <c r="C44" i="28"/>
  <c r="D44" i="28" s="1"/>
  <c r="I83" i="68"/>
  <c r="K83" i="68" s="1"/>
  <c r="C40" i="28"/>
  <c r="J79" i="68"/>
  <c r="L79" i="68" s="1"/>
  <c r="C36" i="28"/>
  <c r="D36" i="28" s="1"/>
  <c r="I75" i="68"/>
  <c r="K75" i="68" s="1"/>
  <c r="C32" i="28"/>
  <c r="D32" i="28" s="1"/>
  <c r="J71" i="68"/>
  <c r="L71" i="68" s="1"/>
  <c r="C28" i="28"/>
  <c r="D28" i="28" s="1"/>
  <c r="G128" i="72"/>
  <c r="L128" i="72"/>
  <c r="Q128" i="72"/>
  <c r="W128" i="72"/>
  <c r="T128" i="72"/>
  <c r="R106" i="72"/>
  <c r="R111" i="72"/>
  <c r="R124" i="72" s="1"/>
  <c r="R128" i="72" s="1"/>
  <c r="O106" i="72"/>
  <c r="O111" i="72"/>
  <c r="O124" i="72" s="1"/>
  <c r="O128" i="72" s="1"/>
  <c r="N128" i="72"/>
  <c r="E128" i="72"/>
  <c r="D106" i="72"/>
  <c r="J106" i="72"/>
  <c r="J111" i="72"/>
  <c r="J124" i="72" s="1"/>
  <c r="J128" i="72" s="1"/>
  <c r="H128" i="72"/>
  <c r="V128" i="72"/>
  <c r="F128" i="72"/>
  <c r="S106" i="72"/>
  <c r="S111" i="72"/>
  <c r="S124" i="72" s="1"/>
  <c r="S128" i="72" s="1"/>
  <c r="P106" i="72"/>
  <c r="P111" i="72"/>
  <c r="P124" i="72" s="1"/>
  <c r="P128" i="72" s="1"/>
  <c r="I128" i="72"/>
  <c r="X106" i="72"/>
  <c r="X111" i="72"/>
  <c r="X124" i="72" s="1"/>
  <c r="X128" i="72" s="1"/>
  <c r="K106" i="72"/>
  <c r="K111" i="72"/>
  <c r="K124" i="72" s="1"/>
  <c r="K128" i="72" s="1"/>
  <c r="M106" i="72"/>
  <c r="M111" i="72"/>
  <c r="M124" i="72" s="1"/>
  <c r="M128" i="72" s="1"/>
  <c r="Q27" i="60"/>
  <c r="R23" i="60"/>
  <c r="W19" i="60"/>
  <c r="H19" i="60"/>
  <c r="H35" i="60"/>
  <c r="K27" i="60"/>
  <c r="I23" i="60"/>
  <c r="J19" i="60"/>
  <c r="N35" i="60"/>
  <c r="S27" i="60"/>
  <c r="X23" i="60"/>
  <c r="F35" i="60"/>
  <c r="Q19" i="60"/>
  <c r="U35" i="60"/>
  <c r="V27" i="60"/>
  <c r="G27" i="60"/>
  <c r="L23" i="60"/>
  <c r="U19" i="60"/>
  <c r="J27" i="60"/>
  <c r="P27" i="60"/>
  <c r="R51" i="60"/>
  <c r="S43" i="60"/>
  <c r="X59" i="60"/>
  <c r="I43" i="60"/>
  <c r="T43" i="60"/>
  <c r="S51" i="60"/>
  <c r="S66" i="60" s="1"/>
  <c r="J59" i="60"/>
  <c r="M43" i="60"/>
  <c r="L51" i="60"/>
  <c r="L43" i="60"/>
  <c r="V51" i="60"/>
  <c r="V66" i="60" s="1"/>
  <c r="W43" i="60"/>
  <c r="H47" i="60"/>
  <c r="Q43" i="60"/>
  <c r="P43" i="60"/>
  <c r="P59" i="60"/>
  <c r="G43" i="60"/>
  <c r="K47" i="60"/>
  <c r="I47" i="60"/>
  <c r="I65" i="60" s="1"/>
  <c r="J51" i="60"/>
  <c r="E164" i="56"/>
  <c r="F150" i="56"/>
  <c r="G151" i="56"/>
  <c r="H152" i="56"/>
  <c r="G150" i="56"/>
  <c r="H151" i="56"/>
  <c r="F153" i="56"/>
  <c r="F158" i="56" s="1"/>
  <c r="K366" i="56" s="1"/>
  <c r="H150" i="56"/>
  <c r="F152" i="56"/>
  <c r="G153" i="56"/>
  <c r="G158" i="56" s="1"/>
  <c r="H153" i="56"/>
  <c r="G152" i="56"/>
  <c r="F151" i="56"/>
  <c r="F164" i="56"/>
  <c r="F203" i="56"/>
  <c r="F215" i="56" s="1"/>
  <c r="I106" i="72"/>
  <c r="N106" i="72"/>
  <c r="E106" i="72"/>
  <c r="U106" i="72"/>
  <c r="Q106" i="72"/>
  <c r="G106" i="72"/>
  <c r="L106" i="72"/>
  <c r="W106" i="72"/>
  <c r="H106" i="72"/>
  <c r="V106" i="72"/>
  <c r="T106" i="72"/>
  <c r="F106" i="72"/>
  <c r="H67" i="68"/>
  <c r="B24" i="28"/>
  <c r="D24" i="28" s="1"/>
  <c r="H66" i="68"/>
  <c r="B23" i="28"/>
  <c r="G68" i="68"/>
  <c r="B25" i="28"/>
  <c r="I87" i="68"/>
  <c r="K87" i="68" s="1"/>
  <c r="E18" i="54"/>
  <c r="P55" i="62"/>
  <c r="P67" i="62"/>
  <c r="P61" i="62"/>
  <c r="P71" i="62"/>
  <c r="P69" i="62"/>
  <c r="P53" i="62"/>
  <c r="P73" i="62"/>
  <c r="P56" i="62"/>
  <c r="P62" i="62"/>
  <c r="P65" i="62"/>
  <c r="P58" i="62"/>
  <c r="P63" i="62"/>
  <c r="P68" i="62"/>
  <c r="P64" i="62"/>
  <c r="P57" i="62"/>
  <c r="P66" i="62"/>
  <c r="P70" i="62"/>
  <c r="P72" i="62"/>
  <c r="P60" i="62"/>
  <c r="P59" i="62"/>
  <c r="P54" i="62"/>
  <c r="Q73" i="62"/>
  <c r="Q54" i="62"/>
  <c r="Q64" i="62"/>
  <c r="Q72" i="62"/>
  <c r="Q70" i="62"/>
  <c r="Q59" i="62"/>
  <c r="Q61" i="62"/>
  <c r="Q65" i="62"/>
  <c r="Q56" i="62"/>
  <c r="Q57" i="62"/>
  <c r="Q66" i="62"/>
  <c r="Q58" i="62"/>
  <c r="Q71" i="62"/>
  <c r="Q60" i="62"/>
  <c r="Q63" i="62"/>
  <c r="Q69" i="62"/>
  <c r="Q55" i="62"/>
  <c r="Q62" i="62"/>
  <c r="Q68" i="62"/>
  <c r="Q67" i="62"/>
  <c r="Q53" i="62"/>
  <c r="X164" i="56"/>
  <c r="X100" i="56"/>
  <c r="F330" i="56"/>
  <c r="F339" i="56" s="1"/>
  <c r="F204" i="56"/>
  <c r="F216" i="56" s="1"/>
  <c r="D330" i="56"/>
  <c r="D339" i="56" s="1"/>
  <c r="G65" i="68"/>
  <c r="F21" i="51"/>
  <c r="I86" i="68"/>
  <c r="K86" i="68" s="1"/>
  <c r="I71" i="68"/>
  <c r="K71" i="68" s="1"/>
  <c r="J74" i="68"/>
  <c r="L74" i="68" s="1"/>
  <c r="J82" i="68"/>
  <c r="L82" i="68" s="1"/>
  <c r="I80" i="68"/>
  <c r="K80" i="68" s="1"/>
  <c r="J73" i="68"/>
  <c r="L73" i="68" s="1"/>
  <c r="J78" i="68"/>
  <c r="L78" i="68" s="1"/>
  <c r="J68" i="68"/>
  <c r="J70" i="68"/>
  <c r="L70" i="68" s="1"/>
  <c r="J81" i="68"/>
  <c r="L81" i="68" s="1"/>
  <c r="J69" i="68"/>
  <c r="L69" i="68" s="1"/>
  <c r="I72" i="68"/>
  <c r="K72" i="68" s="1"/>
  <c r="J77" i="68"/>
  <c r="L77" i="68" s="1"/>
  <c r="J84" i="68"/>
  <c r="L84" i="68" s="1"/>
  <c r="I79" i="68"/>
  <c r="K79" i="68" s="1"/>
  <c r="J85" i="68"/>
  <c r="L85" i="68" s="1"/>
  <c r="J76" i="68"/>
  <c r="L76" i="68" s="1"/>
  <c r="G67" i="68"/>
  <c r="H68" i="68"/>
  <c r="G49" i="68"/>
  <c r="J83" i="68"/>
  <c r="L83" i="68" s="1"/>
  <c r="J75" i="68"/>
  <c r="L75" i="68" s="1"/>
  <c r="H51" i="68"/>
  <c r="G66" i="68"/>
  <c r="D91" i="67"/>
  <c r="C91" i="67"/>
  <c r="G91" i="67"/>
  <c r="E91" i="67"/>
  <c r="H91" i="67"/>
  <c r="F91" i="67"/>
  <c r="C50" i="67"/>
  <c r="F50" i="67"/>
  <c r="D92" i="67" s="1"/>
  <c r="G50" i="67"/>
  <c r="C92" i="67" s="1"/>
  <c r="J10" i="60"/>
  <c r="I19" i="60" s="1"/>
  <c r="E43" i="70"/>
  <c r="K54" i="70" s="1" a="1"/>
  <c r="E24" i="70"/>
  <c r="W54" i="70" s="1" a="1"/>
  <c r="E17" i="70"/>
  <c r="V54" i="70" s="1" a="1"/>
  <c r="E31" i="70"/>
  <c r="F77" i="56"/>
  <c r="F89" i="56" s="1"/>
  <c r="D329" i="56"/>
  <c r="D338" i="56" s="1"/>
  <c r="E138" i="56"/>
  <c r="E150" i="56" s="1"/>
  <c r="F329" i="56"/>
  <c r="F338" i="56" s="1"/>
  <c r="E202" i="56"/>
  <c r="E214" i="56" s="1"/>
  <c r="F76" i="56"/>
  <c r="F88" i="56" s="1"/>
  <c r="D204" i="56"/>
  <c r="D216" i="56" s="1"/>
  <c r="J141" i="56"/>
  <c r="P77" i="56"/>
  <c r="P89" i="56" s="1"/>
  <c r="Q329" i="56"/>
  <c r="Q338" i="56" s="1"/>
  <c r="X138" i="56"/>
  <c r="X150" i="56" s="1"/>
  <c r="E77" i="56"/>
  <c r="E89" i="56" s="1"/>
  <c r="F75" i="56"/>
  <c r="E141" i="56"/>
  <c r="E153" i="56" s="1"/>
  <c r="X6" i="72"/>
  <c r="F278" i="56"/>
  <c r="F332" i="56"/>
  <c r="F341" i="56" s="1"/>
  <c r="F346" i="56" s="1"/>
  <c r="X76" i="56"/>
  <c r="X88" i="56" s="1"/>
  <c r="X267" i="56"/>
  <c r="X276" i="56" s="1"/>
  <c r="D276" i="56"/>
  <c r="X332" i="56"/>
  <c r="X341" i="56" s="1"/>
  <c r="X346" i="56" s="1"/>
  <c r="I55" i="62"/>
  <c r="D10" i="52" s="1"/>
  <c r="X203" i="56"/>
  <c r="X215" i="56" s="1"/>
  <c r="T75" i="56"/>
  <c r="T87" i="56" s="1"/>
  <c r="X140" i="56"/>
  <c r="X152" i="56" s="1"/>
  <c r="J331" i="56"/>
  <c r="J340" i="56" s="1"/>
  <c r="X77" i="56"/>
  <c r="X89" i="56" s="1"/>
  <c r="X331" i="56"/>
  <c r="X340" i="56" s="1"/>
  <c r="X78" i="56"/>
  <c r="X90" i="56" s="1"/>
  <c r="X95" i="56" s="1"/>
  <c r="X139" i="56"/>
  <c r="X151" i="56" s="1"/>
  <c r="X205" i="56"/>
  <c r="X217" i="56" s="1"/>
  <c r="X222" i="56" s="1"/>
  <c r="X269" i="56"/>
  <c r="X278" i="56" s="1"/>
  <c r="J197" i="56"/>
  <c r="J204" i="56" s="1"/>
  <c r="J216" i="56" s="1"/>
  <c r="J196" i="56"/>
  <c r="I76" i="56"/>
  <c r="I88" i="56" s="1"/>
  <c r="X204" i="56"/>
  <c r="X216" i="56" s="1"/>
  <c r="J332" i="56"/>
  <c r="J341" i="56" s="1"/>
  <c r="J346" i="56" s="1"/>
  <c r="P204" i="56"/>
  <c r="P216" i="56" s="1"/>
  <c r="X330" i="56"/>
  <c r="X339" i="56" s="1"/>
  <c r="X270" i="56"/>
  <c r="X279" i="56" s="1"/>
  <c r="X284" i="56" s="1"/>
  <c r="X268" i="56"/>
  <c r="X277" i="56" s="1"/>
  <c r="X141" i="56"/>
  <c r="X75" i="56"/>
  <c r="X87" i="56" s="1"/>
  <c r="X329" i="56"/>
  <c r="X338" i="56" s="1"/>
  <c r="X202" i="56"/>
  <c r="X214" i="56" s="1"/>
  <c r="I139" i="56"/>
  <c r="I151" i="56" s="1"/>
  <c r="X63" i="56"/>
  <c r="V332" i="56"/>
  <c r="V341" i="56" s="1"/>
  <c r="V346" i="56" s="1"/>
  <c r="N197" i="56"/>
  <c r="L76" i="56"/>
  <c r="L88" i="56" s="1"/>
  <c r="T202" i="56"/>
  <c r="T214" i="56" s="1"/>
  <c r="M77" i="56"/>
  <c r="M89" i="56" s="1"/>
  <c r="E329" i="56"/>
  <c r="E338" i="56" s="1"/>
  <c r="F78" i="56"/>
  <c r="F90" i="56" s="1"/>
  <c r="F95" i="56" s="1"/>
  <c r="I330" i="56"/>
  <c r="I339" i="56" s="1"/>
  <c r="K202" i="56"/>
  <c r="K214" i="56" s="1"/>
  <c r="E203" i="56"/>
  <c r="E215" i="56" s="1"/>
  <c r="E205" i="56"/>
  <c r="E217" i="56" s="1"/>
  <c r="E222" i="56" s="1"/>
  <c r="W323" i="56"/>
  <c r="W330" i="56" s="1"/>
  <c r="W339" i="56" s="1"/>
  <c r="W196" i="56"/>
  <c r="U323" i="56"/>
  <c r="U330" i="56" s="1"/>
  <c r="U339" i="56" s="1"/>
  <c r="U196" i="56"/>
  <c r="U203" i="56" s="1"/>
  <c r="U215" i="56" s="1"/>
  <c r="U261" i="56"/>
  <c r="U268" i="56" s="1"/>
  <c r="U277" i="56" s="1"/>
  <c r="T323" i="56"/>
  <c r="T330" i="56" s="1"/>
  <c r="T339" i="56" s="1"/>
  <c r="T196" i="56"/>
  <c r="T203" i="56" s="1"/>
  <c r="T215" i="56" s="1"/>
  <c r="T261" i="56"/>
  <c r="T268" i="56" s="1"/>
  <c r="T277" i="56" s="1"/>
  <c r="T132" i="56"/>
  <c r="T139" i="56" s="1"/>
  <c r="T151" i="56" s="1"/>
  <c r="S261" i="56"/>
  <c r="S132" i="56"/>
  <c r="S133" i="56"/>
  <c r="S324" i="56"/>
  <c r="R323" i="56"/>
  <c r="R196" i="56"/>
  <c r="Q133" i="56"/>
  <c r="Q262" i="56"/>
  <c r="Q269" i="56" s="1"/>
  <c r="Q278" i="56" s="1"/>
  <c r="Q324" i="56"/>
  <c r="P263" i="56"/>
  <c r="P270" i="56" s="1"/>
  <c r="P279" i="56" s="1"/>
  <c r="P284" i="56" s="1"/>
  <c r="P198" i="56"/>
  <c r="O195" i="56"/>
  <c r="O260" i="56"/>
  <c r="O322" i="56"/>
  <c r="O261" i="56"/>
  <c r="O268" i="56" s="1"/>
  <c r="O277" i="56" s="1"/>
  <c r="O196" i="56"/>
  <c r="O203" i="56" s="1"/>
  <c r="O215" i="56" s="1"/>
  <c r="O132" i="56"/>
  <c r="O139" i="56" s="1"/>
  <c r="O151" i="56" s="1"/>
  <c r="N322" i="56"/>
  <c r="N195" i="56"/>
  <c r="N202" i="56" s="1"/>
  <c r="N214" i="56" s="1"/>
  <c r="N131" i="56"/>
  <c r="N133" i="56"/>
  <c r="N324" i="56"/>
  <c r="N331" i="56" s="1"/>
  <c r="N340" i="56" s="1"/>
  <c r="L260" i="56"/>
  <c r="L131" i="56"/>
  <c r="L322" i="56"/>
  <c r="L329" i="56" s="1"/>
  <c r="L338" i="56" s="1"/>
  <c r="L132" i="56"/>
  <c r="L139" i="56" s="1"/>
  <c r="L151" i="56" s="1"/>
  <c r="L261" i="56"/>
  <c r="L268" i="56" s="1"/>
  <c r="L277" i="56" s="1"/>
  <c r="L323" i="56"/>
  <c r="L330" i="56" s="1"/>
  <c r="L339" i="56" s="1"/>
  <c r="K260" i="56"/>
  <c r="K267" i="56" s="1"/>
  <c r="K276" i="56" s="1"/>
  <c r="K322" i="56"/>
  <c r="K329" i="56" s="1"/>
  <c r="K338" i="56" s="1"/>
  <c r="K131" i="56"/>
  <c r="K138" i="56" s="1"/>
  <c r="K150" i="56" s="1"/>
  <c r="K323" i="56"/>
  <c r="K196" i="56"/>
  <c r="K261" i="56"/>
  <c r="G202" i="56"/>
  <c r="G214" i="56" s="1"/>
  <c r="E139" i="56"/>
  <c r="E151" i="56" s="1"/>
  <c r="L195" i="56"/>
  <c r="L196" i="56"/>
  <c r="L203" i="56" s="1"/>
  <c r="L215" i="56" s="1"/>
  <c r="O76" i="56"/>
  <c r="O88" i="56" s="1"/>
  <c r="R132" i="56"/>
  <c r="U132" i="56"/>
  <c r="U139" i="56" s="1"/>
  <c r="U151" i="56" s="1"/>
  <c r="W133" i="56"/>
  <c r="W324" i="56"/>
  <c r="U322" i="56"/>
  <c r="U260" i="56"/>
  <c r="U325" i="56"/>
  <c r="U332" i="56" s="1"/>
  <c r="U341" i="56" s="1"/>
  <c r="U346" i="56" s="1"/>
  <c r="U263" i="56"/>
  <c r="U270" i="56" s="1"/>
  <c r="U279" i="56" s="1"/>
  <c r="U284" i="56" s="1"/>
  <c r="U134" i="56"/>
  <c r="U141" i="56" s="1"/>
  <c r="U153" i="56" s="1"/>
  <c r="T134" i="56"/>
  <c r="T198" i="56"/>
  <c r="R262" i="56"/>
  <c r="R133" i="56"/>
  <c r="Q323" i="56"/>
  <c r="Q132" i="56"/>
  <c r="Q134" i="56"/>
  <c r="Q78" i="56"/>
  <c r="Q90" i="56" s="1"/>
  <c r="Q95" i="56" s="1"/>
  <c r="Q263" i="56"/>
  <c r="O262" i="56"/>
  <c r="O133" i="56"/>
  <c r="M198" i="56"/>
  <c r="M205" i="56" s="1"/>
  <c r="M217" i="56" s="1"/>
  <c r="M222" i="56" s="1"/>
  <c r="M263" i="56"/>
  <c r="M76" i="56"/>
  <c r="M88" i="56" s="1"/>
  <c r="M196" i="56"/>
  <c r="M203" i="56" s="1"/>
  <c r="M215" i="56" s="1"/>
  <c r="M132" i="56"/>
  <c r="M139" i="56" s="1"/>
  <c r="M151" i="56" s="1"/>
  <c r="I131" i="56"/>
  <c r="I138" i="56" s="1"/>
  <c r="I150" i="56" s="1"/>
  <c r="G325" i="56"/>
  <c r="G332" i="56" s="1"/>
  <c r="G341" i="56" s="1"/>
  <c r="G346" i="56" s="1"/>
  <c r="I197" i="56"/>
  <c r="H324" i="56"/>
  <c r="H331" i="56" s="1"/>
  <c r="H340" i="56" s="1"/>
  <c r="H278" i="56"/>
  <c r="Q202" i="56"/>
  <c r="Q214" i="56" s="1"/>
  <c r="P75" i="56"/>
  <c r="P87" i="56" s="1"/>
  <c r="F277" i="56"/>
  <c r="P269" i="56"/>
  <c r="P278" i="56" s="1"/>
  <c r="R138" i="56"/>
  <c r="R150" i="56" s="1"/>
  <c r="D332" i="56"/>
  <c r="D341" i="56" s="1"/>
  <c r="D346" i="56" s="1"/>
  <c r="D151" i="56"/>
  <c r="M329" i="56"/>
  <c r="M338" i="56" s="1"/>
  <c r="E332" i="56"/>
  <c r="E341" i="56" s="1"/>
  <c r="E346" i="56" s="1"/>
  <c r="T329" i="56"/>
  <c r="T338" i="56" s="1"/>
  <c r="F276" i="56"/>
  <c r="O78" i="56"/>
  <c r="O90" i="56" s="1"/>
  <c r="O95" i="56" s="1"/>
  <c r="Q138" i="56"/>
  <c r="Q150" i="56" s="1"/>
  <c r="J269" i="56"/>
  <c r="J278" i="56" s="1"/>
  <c r="H78" i="56"/>
  <c r="H90" i="56" s="1"/>
  <c r="H95" i="56" s="1"/>
  <c r="W263" i="56"/>
  <c r="V323" i="56"/>
  <c r="U324" i="56"/>
  <c r="R134" i="56"/>
  <c r="R141" i="56" s="1"/>
  <c r="R153" i="56" s="1"/>
  <c r="R198" i="56"/>
  <c r="R205" i="56" s="1"/>
  <c r="R217" i="56" s="1"/>
  <c r="R222" i="56" s="1"/>
  <c r="L133" i="56"/>
  <c r="L262" i="56"/>
  <c r="H325" i="56"/>
  <c r="H205" i="56"/>
  <c r="H217" i="56" s="1"/>
  <c r="H222" i="56" s="1"/>
  <c r="I198" i="56"/>
  <c r="I134" i="56"/>
  <c r="F202" i="56"/>
  <c r="F214" i="56" s="1"/>
  <c r="O330" i="56"/>
  <c r="O339" i="56" s="1"/>
  <c r="Q267" i="56"/>
  <c r="Q276" i="56" s="1"/>
  <c r="R78" i="56"/>
  <c r="R90" i="56" s="1"/>
  <c r="R95" i="56" s="1"/>
  <c r="T76" i="56"/>
  <c r="T88" i="56" s="1"/>
  <c r="H203" i="56"/>
  <c r="H215" i="56" s="1"/>
  <c r="L141" i="56"/>
  <c r="T269" i="56"/>
  <c r="T278" i="56" s="1"/>
  <c r="V270" i="56"/>
  <c r="V279" i="56" s="1"/>
  <c r="V284" i="56" s="1"/>
  <c r="I203" i="56"/>
  <c r="I215" i="56" s="1"/>
  <c r="D150" i="56"/>
  <c r="D277" i="56"/>
  <c r="V189" i="56"/>
  <c r="V316" i="56"/>
  <c r="V125" i="56"/>
  <c r="V139" i="56" s="1"/>
  <c r="V151" i="56" s="1"/>
  <c r="T317" i="56"/>
  <c r="T331" i="56" s="1"/>
  <c r="T340" i="56" s="1"/>
  <c r="T77" i="56"/>
  <c r="T89" i="56" s="1"/>
  <c r="T126" i="56"/>
  <c r="T140" i="56" s="1"/>
  <c r="T152" i="56" s="1"/>
  <c r="S317" i="56"/>
  <c r="S126" i="56"/>
  <c r="S255" i="56"/>
  <c r="S269" i="56" s="1"/>
  <c r="S278" i="56" s="1"/>
  <c r="P316" i="56"/>
  <c r="P330" i="56" s="1"/>
  <c r="P339" i="56" s="1"/>
  <c r="P254" i="56"/>
  <c r="P268" i="56" s="1"/>
  <c r="P277" i="56" s="1"/>
  <c r="N127" i="56"/>
  <c r="N141" i="56" s="1"/>
  <c r="N191" i="56"/>
  <c r="N318" i="56"/>
  <c r="N332" i="56" s="1"/>
  <c r="N341" i="56" s="1"/>
  <c r="N346" i="56" s="1"/>
  <c r="L318" i="56"/>
  <c r="L332" i="56" s="1"/>
  <c r="L341" i="56" s="1"/>
  <c r="L346" i="56" s="1"/>
  <c r="L191" i="56"/>
  <c r="L205" i="56" s="1"/>
  <c r="L217" i="56" s="1"/>
  <c r="L222" i="56" s="1"/>
  <c r="I127" i="56"/>
  <c r="I332" i="56"/>
  <c r="I341" i="56" s="1"/>
  <c r="I346" i="56" s="1"/>
  <c r="J189" i="56"/>
  <c r="J125" i="56"/>
  <c r="J139" i="56" s="1"/>
  <c r="J151" i="56" s="1"/>
  <c r="J76" i="56"/>
  <c r="J88" i="56" s="1"/>
  <c r="W124" i="56"/>
  <c r="W315" i="56"/>
  <c r="I277" i="56"/>
  <c r="S204" i="56"/>
  <c r="S216" i="56" s="1"/>
  <c r="J253" i="56"/>
  <c r="P125" i="56"/>
  <c r="P139" i="56" s="1"/>
  <c r="P151" i="56" s="1"/>
  <c r="I279" i="56"/>
  <c r="I284" i="56" s="1"/>
  <c r="P189" i="56"/>
  <c r="P203" i="56" s="1"/>
  <c r="P215" i="56" s="1"/>
  <c r="W253" i="56"/>
  <c r="W254" i="56"/>
  <c r="W268" i="56" s="1"/>
  <c r="W277" i="56" s="1"/>
  <c r="W125" i="56"/>
  <c r="W189" i="56"/>
  <c r="V255" i="56"/>
  <c r="V269" i="56" s="1"/>
  <c r="V278" i="56" s="1"/>
  <c r="V317" i="56"/>
  <c r="S125" i="56"/>
  <c r="S189" i="56"/>
  <c r="S203" i="56" s="1"/>
  <c r="S215" i="56" s="1"/>
  <c r="R126" i="56"/>
  <c r="R255" i="56"/>
  <c r="P315" i="56"/>
  <c r="P188" i="56"/>
  <c r="P124" i="56"/>
  <c r="O253" i="56"/>
  <c r="O124" i="56"/>
  <c r="O188" i="56"/>
  <c r="N190" i="56"/>
  <c r="N126" i="56"/>
  <c r="K126" i="56"/>
  <c r="K190" i="56"/>
  <c r="J188" i="56"/>
  <c r="J124" i="56"/>
  <c r="I191" i="56"/>
  <c r="N255" i="56"/>
  <c r="N269" i="56" s="1"/>
  <c r="N278" i="56" s="1"/>
  <c r="R317" i="56"/>
  <c r="T190" i="56"/>
  <c r="T204" i="56" s="1"/>
  <c r="T216" i="56" s="1"/>
  <c r="V254" i="56"/>
  <c r="V268" i="56" s="1"/>
  <c r="V277" i="56" s="1"/>
  <c r="K255" i="56"/>
  <c r="L256" i="56"/>
  <c r="P253" i="56"/>
  <c r="P290" i="56" s="1"/>
  <c r="S316" i="56"/>
  <c r="V190" i="56"/>
  <c r="J254" i="56"/>
  <c r="J268" i="56" s="1"/>
  <c r="J277" i="56" s="1"/>
  <c r="E75" i="56"/>
  <c r="E87" i="56" s="1"/>
  <c r="E63" i="56"/>
  <c r="V253" i="56"/>
  <c r="V315" i="56"/>
  <c r="V127" i="56"/>
  <c r="V141" i="56" s="1"/>
  <c r="V153" i="56" s="1"/>
  <c r="V191" i="56"/>
  <c r="V205" i="56" s="1"/>
  <c r="V217" i="56" s="1"/>
  <c r="V222" i="56" s="1"/>
  <c r="U124" i="56"/>
  <c r="U188" i="56"/>
  <c r="T191" i="56"/>
  <c r="T127" i="56"/>
  <c r="R125" i="56"/>
  <c r="R316" i="56"/>
  <c r="R353" i="56" s="1"/>
  <c r="Q317" i="56"/>
  <c r="Q126" i="56"/>
  <c r="P318" i="56"/>
  <c r="P191" i="56"/>
  <c r="L253" i="56"/>
  <c r="L124" i="56"/>
  <c r="L188" i="56"/>
  <c r="M317" i="56"/>
  <c r="M331" i="56" s="1"/>
  <c r="M340" i="56" s="1"/>
  <c r="M190" i="56"/>
  <c r="M126" i="56"/>
  <c r="M140" i="56" s="1"/>
  <c r="M152" i="56" s="1"/>
  <c r="K318" i="56"/>
  <c r="K332" i="56" s="1"/>
  <c r="K341" i="56" s="1"/>
  <c r="K346" i="56" s="1"/>
  <c r="K191" i="56"/>
  <c r="K205" i="56" s="1"/>
  <c r="K217" i="56" s="1"/>
  <c r="K222" i="56" s="1"/>
  <c r="G279" i="56"/>
  <c r="G284" i="56" s="1"/>
  <c r="H204" i="56"/>
  <c r="H216" i="56" s="1"/>
  <c r="H77" i="56"/>
  <c r="H89" i="56" s="1"/>
  <c r="H277" i="56"/>
  <c r="H330" i="56"/>
  <c r="H339" i="56" s="1"/>
  <c r="I253" i="56"/>
  <c r="W188" i="56"/>
  <c r="W256" i="56"/>
  <c r="W318" i="56"/>
  <c r="W332" i="56" s="1"/>
  <c r="W341" i="56" s="1"/>
  <c r="W346" i="56" s="1"/>
  <c r="W191" i="56"/>
  <c r="W205" i="56" s="1"/>
  <c r="W217" i="56" s="1"/>
  <c r="W222" i="56" s="1"/>
  <c r="W126" i="56"/>
  <c r="W255" i="56"/>
  <c r="E204" i="56"/>
  <c r="E216" i="56" s="1"/>
  <c r="E140" i="56"/>
  <c r="E152" i="56" s="1"/>
  <c r="E330" i="56"/>
  <c r="E339" i="56" s="1"/>
  <c r="U78" i="56"/>
  <c r="U90" i="56" s="1"/>
  <c r="U95" i="56" s="1"/>
  <c r="F279" i="56"/>
  <c r="F284" i="56" s="1"/>
  <c r="W317" i="56"/>
  <c r="R188" i="56"/>
  <c r="R253" i="56"/>
  <c r="P126" i="56"/>
  <c r="P140" i="56" s="1"/>
  <c r="P152" i="56" s="1"/>
  <c r="P317" i="56"/>
  <c r="P331" i="56" s="1"/>
  <c r="P340" i="56" s="1"/>
  <c r="J126" i="56"/>
  <c r="J77" i="56"/>
  <c r="J89" i="56" s="1"/>
  <c r="D78" i="56"/>
  <c r="D90" i="56" s="1"/>
  <c r="D95" i="56" s="1"/>
  <c r="D279" i="56"/>
  <c r="D284" i="56" s="1"/>
  <c r="M268" i="56"/>
  <c r="M277" i="56" s="1"/>
  <c r="F205" i="56"/>
  <c r="F217" i="56" s="1"/>
  <c r="F222" i="56" s="1"/>
  <c r="D153" i="56"/>
  <c r="D158" i="56" s="1"/>
  <c r="D203" i="56"/>
  <c r="D215" i="56" s="1"/>
  <c r="W131" i="56"/>
  <c r="K75" i="56"/>
  <c r="K87" i="56" s="1"/>
  <c r="V324" i="56"/>
  <c r="V133" i="56"/>
  <c r="U76" i="56"/>
  <c r="U88" i="56" s="1"/>
  <c r="S263" i="56"/>
  <c r="S134" i="56"/>
  <c r="S198" i="56"/>
  <c r="R197" i="56"/>
  <c r="R324" i="56"/>
  <c r="P134" i="56"/>
  <c r="P141" i="56" s="1"/>
  <c r="P325" i="56"/>
  <c r="O324" i="56"/>
  <c r="O331" i="56" s="1"/>
  <c r="O340" i="56" s="1"/>
  <c r="M325" i="56"/>
  <c r="M134" i="56"/>
  <c r="L77" i="56"/>
  <c r="L89" i="56" s="1"/>
  <c r="G203" i="56"/>
  <c r="G215" i="56" s="1"/>
  <c r="Y17" i="56"/>
  <c r="G323" i="56"/>
  <c r="K197" i="56"/>
  <c r="K262" i="56"/>
  <c r="K133" i="56"/>
  <c r="I195" i="56"/>
  <c r="I202" i="56" s="1"/>
  <c r="I214" i="56" s="1"/>
  <c r="Y18" i="56"/>
  <c r="D76" i="56"/>
  <c r="D88" i="56" s="1"/>
  <c r="D71" i="56"/>
  <c r="Q75" i="56"/>
  <c r="Q87" i="56" s="1"/>
  <c r="E331" i="56"/>
  <c r="E340" i="56" s="1"/>
  <c r="J78" i="56"/>
  <c r="J90" i="56" s="1"/>
  <c r="J95" i="56" s="1"/>
  <c r="W322" i="56"/>
  <c r="Q197" i="56"/>
  <c r="Q204" i="56" s="1"/>
  <c r="Q216" i="56" s="1"/>
  <c r="J205" i="56"/>
  <c r="J217" i="56" s="1"/>
  <c r="J222" i="56" s="1"/>
  <c r="R329" i="56"/>
  <c r="R338" i="56" s="1"/>
  <c r="M330" i="56"/>
  <c r="M339" i="56" s="1"/>
  <c r="E76" i="56"/>
  <c r="E88" i="56" s="1"/>
  <c r="H76" i="56"/>
  <c r="H88" i="56" s="1"/>
  <c r="R332" i="56"/>
  <c r="R341" i="56" s="1"/>
  <c r="R346" i="56" s="1"/>
  <c r="R270" i="56"/>
  <c r="R279" i="56" s="1"/>
  <c r="R284" i="56" s="1"/>
  <c r="W260" i="56"/>
  <c r="G324" i="56"/>
  <c r="V197" i="56"/>
  <c r="D202" i="56"/>
  <c r="D214" i="56" s="1"/>
  <c r="T131" i="56"/>
  <c r="T138" i="56" s="1"/>
  <c r="T150" i="56" s="1"/>
  <c r="S323" i="56"/>
  <c r="P260" i="56"/>
  <c r="O134" i="56"/>
  <c r="O325" i="56"/>
  <c r="N263" i="56"/>
  <c r="N270" i="56" s="1"/>
  <c r="N279" i="56" s="1"/>
  <c r="N284" i="56" s="1"/>
  <c r="J260" i="56"/>
  <c r="D77" i="56"/>
  <c r="D89" i="56" s="1"/>
  <c r="D331" i="56"/>
  <c r="D340" i="56" s="1"/>
  <c r="E78" i="56"/>
  <c r="E90" i="56" s="1"/>
  <c r="E95" i="56" s="1"/>
  <c r="F331" i="56"/>
  <c r="F340" i="56" s="1"/>
  <c r="J270" i="56"/>
  <c r="J279" i="56" s="1"/>
  <c r="J284" i="56" s="1"/>
  <c r="T332" i="56"/>
  <c r="T341" i="56" s="1"/>
  <c r="T346" i="56" s="1"/>
  <c r="J133" i="56"/>
  <c r="W134" i="56"/>
  <c r="W141" i="56" s="1"/>
  <c r="W153" i="56" s="1"/>
  <c r="J195" i="56"/>
  <c r="N198" i="56"/>
  <c r="P131" i="56"/>
  <c r="Q325" i="56"/>
  <c r="Q332" i="56" s="1"/>
  <c r="Q341" i="56" s="1"/>
  <c r="Q346" i="56" s="1"/>
  <c r="T260" i="56"/>
  <c r="T267" i="56" s="1"/>
  <c r="T276" i="56" s="1"/>
  <c r="U131" i="56"/>
  <c r="K263" i="56"/>
  <c r="M262" i="56"/>
  <c r="M269" i="56" s="1"/>
  <c r="M278" i="56" s="1"/>
  <c r="M197" i="56"/>
  <c r="O198" i="56"/>
  <c r="V196" i="56"/>
  <c r="U198" i="56"/>
  <c r="U205" i="56" s="1"/>
  <c r="U217" i="56" s="1"/>
  <c r="U222" i="56" s="1"/>
  <c r="S322" i="56"/>
  <c r="S329" i="56" s="1"/>
  <c r="S338" i="56" s="1"/>
  <c r="S260" i="56"/>
  <c r="S267" i="56" s="1"/>
  <c r="S276" i="56" s="1"/>
  <c r="R260" i="56"/>
  <c r="N261" i="56"/>
  <c r="Y19" i="56"/>
  <c r="L263" i="56"/>
  <c r="H279" i="56"/>
  <c r="H284" i="56" s="1"/>
  <c r="W132" i="56"/>
  <c r="W262" i="56"/>
  <c r="D205" i="56"/>
  <c r="D217" i="56" s="1"/>
  <c r="D222" i="56" s="1"/>
  <c r="D152" i="56"/>
  <c r="D278" i="56"/>
  <c r="V188" i="56"/>
  <c r="V124" i="56"/>
  <c r="U253" i="56"/>
  <c r="U315" i="56"/>
  <c r="S318" i="56"/>
  <c r="S332" i="56" s="1"/>
  <c r="S341" i="56" s="1"/>
  <c r="S346" i="56" s="1"/>
  <c r="S256" i="56"/>
  <c r="S127" i="56"/>
  <c r="S191" i="56"/>
  <c r="R254" i="56"/>
  <c r="R268" i="56" s="1"/>
  <c r="R277" i="56" s="1"/>
  <c r="R189" i="56"/>
  <c r="R190" i="56"/>
  <c r="Q189" i="56"/>
  <c r="Q203" i="56" s="1"/>
  <c r="Q215" i="56" s="1"/>
  <c r="Q125" i="56"/>
  <c r="Q254" i="56"/>
  <c r="Q268" i="56" s="1"/>
  <c r="Q277" i="56" s="1"/>
  <c r="Q316" i="56"/>
  <c r="O315" i="56"/>
  <c r="N125" i="56"/>
  <c r="N139" i="56" s="1"/>
  <c r="N151" i="56" s="1"/>
  <c r="N316" i="56"/>
  <c r="N330" i="56" s="1"/>
  <c r="N339" i="56" s="1"/>
  <c r="N76" i="56"/>
  <c r="N88" i="56" s="1"/>
  <c r="N254" i="56"/>
  <c r="N189" i="56"/>
  <c r="N203" i="56" s="1"/>
  <c r="N215" i="56" s="1"/>
  <c r="M188" i="56"/>
  <c r="M228" i="56" s="1"/>
  <c r="M124" i="56"/>
  <c r="M253" i="56"/>
  <c r="K125" i="56"/>
  <c r="K139" i="56" s="1"/>
  <c r="K151" i="56" s="1"/>
  <c r="K254" i="56"/>
  <c r="K316" i="56"/>
  <c r="K189" i="56"/>
  <c r="Y8" i="56"/>
  <c r="J330" i="56"/>
  <c r="J339" i="56" s="1"/>
  <c r="Y7" i="56"/>
  <c r="I331" i="56"/>
  <c r="I340" i="56" s="1"/>
  <c r="I190" i="56"/>
  <c r="I126" i="56"/>
  <c r="I140" i="56" s="1"/>
  <c r="I152" i="56" s="1"/>
  <c r="Y10" i="56"/>
  <c r="F63" i="56"/>
  <c r="V126" i="56"/>
  <c r="U190" i="56"/>
  <c r="U204" i="56" s="1"/>
  <c r="U216" i="56" s="1"/>
  <c r="U126" i="56"/>
  <c r="U140" i="56" s="1"/>
  <c r="U152" i="56" s="1"/>
  <c r="U255" i="56"/>
  <c r="U269" i="56" s="1"/>
  <c r="U278" i="56" s="1"/>
  <c r="U317" i="56"/>
  <c r="T256" i="56"/>
  <c r="T270" i="56" s="1"/>
  <c r="T279" i="56" s="1"/>
  <c r="T284" i="56" s="1"/>
  <c r="S188" i="56"/>
  <c r="S124" i="56"/>
  <c r="S254" i="56"/>
  <c r="Q256" i="56"/>
  <c r="Q191" i="56"/>
  <c r="Q205" i="56" s="1"/>
  <c r="Q217" i="56" s="1"/>
  <c r="Q222" i="56" s="1"/>
  <c r="Q127" i="56"/>
  <c r="O127" i="56"/>
  <c r="O191" i="56"/>
  <c r="O318" i="56"/>
  <c r="O256" i="56"/>
  <c r="O270" i="56" s="1"/>
  <c r="O279" i="56" s="1"/>
  <c r="O284" i="56" s="1"/>
  <c r="O255" i="56"/>
  <c r="O126" i="56"/>
  <c r="O190" i="56"/>
  <c r="O204" i="56" s="1"/>
  <c r="O216" i="56" s="1"/>
  <c r="N315" i="56"/>
  <c r="N253" i="56"/>
  <c r="N124" i="56"/>
  <c r="M318" i="56"/>
  <c r="M256" i="56"/>
  <c r="M127" i="56"/>
  <c r="L126" i="56"/>
  <c r="L255" i="56"/>
  <c r="L190" i="56"/>
  <c r="L204" i="56" s="1"/>
  <c r="L216" i="56" s="1"/>
  <c r="L317" i="56"/>
  <c r="L331" i="56" s="1"/>
  <c r="L340" i="56" s="1"/>
  <c r="K127" i="56"/>
  <c r="K141" i="56" s="1"/>
  <c r="K256" i="56"/>
  <c r="K317" i="56"/>
  <c r="K331" i="56" s="1"/>
  <c r="K340" i="56" s="1"/>
  <c r="Y11" i="56"/>
  <c r="Y9" i="56"/>
  <c r="W190" i="56"/>
  <c r="W204" i="56" s="1"/>
  <c r="W216" i="56" s="1"/>
  <c r="D75" i="56"/>
  <c r="D63" i="56"/>
  <c r="F20" i="51"/>
  <c r="V165" i="72" l="1"/>
  <c r="K236" i="52" s="1"/>
  <c r="E95" i="68"/>
  <c r="I91" i="68"/>
  <c r="F246" i="52"/>
  <c r="I35" i="75"/>
  <c r="V163" i="72"/>
  <c r="J66" i="60"/>
  <c r="N290" i="56"/>
  <c r="M353" i="56"/>
  <c r="S228" i="56"/>
  <c r="Q353" i="56"/>
  <c r="U290" i="56"/>
  <c r="V353" i="56"/>
  <c r="S290" i="56"/>
  <c r="S353" i="56"/>
  <c r="L149" i="72"/>
  <c r="N149" i="72" s="1"/>
  <c r="L154" i="72"/>
  <c r="N154" i="72" s="1"/>
  <c r="L161" i="72"/>
  <c r="N161" i="72" s="1"/>
  <c r="K228" i="56"/>
  <c r="L146" i="72"/>
  <c r="N146" i="72" s="1"/>
  <c r="L153" i="72"/>
  <c r="N153" i="72" s="1"/>
  <c r="L156" i="72"/>
  <c r="N156" i="72" s="1"/>
  <c r="L159" i="72"/>
  <c r="N159" i="72" s="1"/>
  <c r="P34" i="62"/>
  <c r="P45" i="62" s="1"/>
  <c r="K353" i="56"/>
  <c r="K290" i="56"/>
  <c r="I228" i="56"/>
  <c r="J228" i="56"/>
  <c r="N228" i="56"/>
  <c r="H91" i="68"/>
  <c r="G91" i="68"/>
  <c r="D32" i="75"/>
  <c r="Q34" i="62"/>
  <c r="Q45" i="62" s="1"/>
  <c r="M47" i="52"/>
  <c r="N47" i="52"/>
  <c r="M39" i="52"/>
  <c r="N39" i="52"/>
  <c r="M53" i="52"/>
  <c r="N53" i="52"/>
  <c r="M44" i="52"/>
  <c r="N44" i="52"/>
  <c r="M56" i="52"/>
  <c r="N56" i="52"/>
  <c r="M54" i="52"/>
  <c r="N54" i="52"/>
  <c r="M55" i="52"/>
  <c r="N55" i="52"/>
  <c r="M45" i="52"/>
  <c r="N45" i="52"/>
  <c r="M57" i="52"/>
  <c r="N57" i="52"/>
  <c r="M48" i="52"/>
  <c r="N48" i="52"/>
  <c r="M51" i="52"/>
  <c r="N51" i="52"/>
  <c r="N46" i="52"/>
  <c r="M46" i="52"/>
  <c r="N37" i="52"/>
  <c r="M37" i="52"/>
  <c r="L58" i="52"/>
  <c r="E210" i="52" s="1"/>
  <c r="D24" i="75" s="1"/>
  <c r="M49" i="52"/>
  <c r="N49" i="52"/>
  <c r="M40" i="52"/>
  <c r="N40" i="52"/>
  <c r="M50" i="52"/>
  <c r="N50" i="52"/>
  <c r="M42" i="52"/>
  <c r="N42" i="52"/>
  <c r="M43" i="52"/>
  <c r="N43" i="52"/>
  <c r="M52" i="52"/>
  <c r="N52" i="52"/>
  <c r="M41" i="52"/>
  <c r="N41" i="52"/>
  <c r="M38" i="52"/>
  <c r="N38" i="52"/>
  <c r="L290" i="56"/>
  <c r="O290" i="56"/>
  <c r="W353" i="56"/>
  <c r="V166" i="72"/>
  <c r="L158" i="72"/>
  <c r="N158" i="72" s="1"/>
  <c r="L142" i="72"/>
  <c r="N142" i="72" s="1"/>
  <c r="L152" i="72"/>
  <c r="N152" i="72" s="1"/>
  <c r="L155" i="72"/>
  <c r="N155" i="72" s="1"/>
  <c r="L353" i="56"/>
  <c r="T290" i="56"/>
  <c r="I290" i="56"/>
  <c r="I267" i="56"/>
  <c r="I276" i="56" s="1"/>
  <c r="Q228" i="56"/>
  <c r="T353" i="56"/>
  <c r="R290" i="56"/>
  <c r="U228" i="56"/>
  <c r="W290" i="56"/>
  <c r="J290" i="56"/>
  <c r="M163" i="72"/>
  <c r="L145" i="72"/>
  <c r="L148" i="72"/>
  <c r="N148" i="72" s="1"/>
  <c r="L151" i="72"/>
  <c r="N151" i="72" s="1"/>
  <c r="Q290" i="56"/>
  <c r="P353" i="56"/>
  <c r="W166" i="72"/>
  <c r="L162" i="72"/>
  <c r="N162" i="72" s="1"/>
  <c r="L143" i="72"/>
  <c r="N143" i="72" s="1"/>
  <c r="V228" i="56"/>
  <c r="N353" i="56"/>
  <c r="M290" i="56"/>
  <c r="O353" i="56"/>
  <c r="U353" i="56"/>
  <c r="R228" i="56"/>
  <c r="W228" i="56"/>
  <c r="L228" i="56"/>
  <c r="V290" i="56"/>
  <c r="O228" i="56"/>
  <c r="P228" i="56"/>
  <c r="L150" i="72"/>
  <c r="N150" i="72" s="1"/>
  <c r="L157" i="72"/>
  <c r="N157" i="72" s="1"/>
  <c r="L160" i="72"/>
  <c r="N160" i="72" s="1"/>
  <c r="L144" i="72"/>
  <c r="N144" i="72" s="1"/>
  <c r="L147" i="72"/>
  <c r="N147" i="72" s="1"/>
  <c r="T228" i="56"/>
  <c r="AC84" i="54"/>
  <c r="Z60" i="54"/>
  <c r="Z71" i="54"/>
  <c r="Z74" i="54"/>
  <c r="Z77" i="54"/>
  <c r="Z61" i="54"/>
  <c r="Z68" i="54"/>
  <c r="Z67" i="54"/>
  <c r="Z70" i="54"/>
  <c r="Z73" i="54"/>
  <c r="Z80" i="54"/>
  <c r="Z64" i="54"/>
  <c r="Z79" i="54"/>
  <c r="Z63" i="54"/>
  <c r="Z66" i="54"/>
  <c r="Z69" i="54"/>
  <c r="Z76" i="54"/>
  <c r="Z75" i="54"/>
  <c r="Z78" i="54"/>
  <c r="Z62" i="54"/>
  <c r="Z65" i="54"/>
  <c r="Z72" i="54"/>
  <c r="P63" i="54"/>
  <c r="P67" i="54"/>
  <c r="R67" i="54" s="1"/>
  <c r="P71" i="54"/>
  <c r="R71" i="54" s="1"/>
  <c r="P75" i="54"/>
  <c r="R75" i="54" s="1"/>
  <c r="P79" i="54"/>
  <c r="R79" i="54" s="1"/>
  <c r="P60" i="54"/>
  <c r="R60" i="54" s="1"/>
  <c r="P64" i="54"/>
  <c r="R64" i="54" s="1"/>
  <c r="P68" i="54"/>
  <c r="R68" i="54" s="1"/>
  <c r="P72" i="54"/>
  <c r="R72" i="54" s="1"/>
  <c r="P76" i="54"/>
  <c r="R76" i="54" s="1"/>
  <c r="P80" i="54"/>
  <c r="R80" i="54" s="1"/>
  <c r="P61" i="54"/>
  <c r="R61" i="54" s="1"/>
  <c r="P65" i="54"/>
  <c r="R65" i="54" s="1"/>
  <c r="P69" i="54"/>
  <c r="R69" i="54" s="1"/>
  <c r="P73" i="54"/>
  <c r="R73" i="54" s="1"/>
  <c r="P77" i="54"/>
  <c r="R77" i="54" s="1"/>
  <c r="P62" i="54"/>
  <c r="R62" i="54" s="1"/>
  <c r="P66" i="54"/>
  <c r="R66" i="54" s="1"/>
  <c r="P70" i="54"/>
  <c r="R70" i="54" s="1"/>
  <c r="P74" i="54"/>
  <c r="R74" i="54" s="1"/>
  <c r="P78" i="54"/>
  <c r="R78" i="54" s="1"/>
  <c r="W54" i="70"/>
  <c r="W74" i="70"/>
  <c r="W59" i="70"/>
  <c r="W65" i="70"/>
  <c r="W68" i="70"/>
  <c r="W70" i="70"/>
  <c r="W71" i="70"/>
  <c r="W55" i="70"/>
  <c r="W61" i="70"/>
  <c r="W64" i="70"/>
  <c r="W66" i="70"/>
  <c r="W67" i="70"/>
  <c r="W73" i="70"/>
  <c r="W57" i="70"/>
  <c r="W60" i="70"/>
  <c r="W62" i="70"/>
  <c r="W63" i="70"/>
  <c r="W69" i="70"/>
  <c r="W72" i="70"/>
  <c r="W56" i="70"/>
  <c r="W58" i="70"/>
  <c r="V56" i="70"/>
  <c r="V60" i="70"/>
  <c r="V64" i="70"/>
  <c r="V68" i="70"/>
  <c r="V72" i="70"/>
  <c r="V57" i="70"/>
  <c r="V61" i="70"/>
  <c r="V65" i="70"/>
  <c r="V69" i="70"/>
  <c r="V73" i="70"/>
  <c r="V54" i="70"/>
  <c r="V58" i="70"/>
  <c r="V62" i="70"/>
  <c r="V66" i="70"/>
  <c r="V70" i="70"/>
  <c r="V74" i="70"/>
  <c r="V55" i="70"/>
  <c r="V59" i="70"/>
  <c r="V63" i="70"/>
  <c r="V67" i="70"/>
  <c r="V71" i="70"/>
  <c r="N34" i="62"/>
  <c r="N45" i="62" s="1"/>
  <c r="Y34" i="62"/>
  <c r="Y45" i="62" s="1"/>
  <c r="O34" i="62"/>
  <c r="O45" i="62" s="1"/>
  <c r="K34" i="62"/>
  <c r="K45" i="62" s="1"/>
  <c r="I34" i="62"/>
  <c r="I45" i="62" s="1"/>
  <c r="M34" i="62"/>
  <c r="M45" i="62" s="1"/>
  <c r="J34" i="62"/>
  <c r="J45" i="62" s="1"/>
  <c r="R34" i="62"/>
  <c r="R45" i="62" s="1"/>
  <c r="L34" i="62"/>
  <c r="L45" i="62" s="1"/>
  <c r="W34" i="62"/>
  <c r="W45" i="62" s="1"/>
  <c r="F34" i="62"/>
  <c r="F45" i="62" s="1"/>
  <c r="V34" i="62"/>
  <c r="V45" i="62" s="1"/>
  <c r="G34" i="62"/>
  <c r="G45" i="62" s="1"/>
  <c r="U34" i="62"/>
  <c r="U45" i="62" s="1"/>
  <c r="T34" i="62"/>
  <c r="T45" i="62" s="1"/>
  <c r="S34" i="62"/>
  <c r="S45" i="62" s="1"/>
  <c r="H34" i="62"/>
  <c r="H45" i="62" s="1"/>
  <c r="X34" i="62"/>
  <c r="X45" i="62" s="1"/>
  <c r="D40" i="28"/>
  <c r="C48" i="28"/>
  <c r="C12" i="28" s="1"/>
  <c r="C16" i="28" s="1"/>
  <c r="D37" i="75" s="1"/>
  <c r="K173" i="52"/>
  <c r="F216" i="52" s="1"/>
  <c r="E29" i="75" s="1"/>
  <c r="L173" i="52"/>
  <c r="G216" i="52" s="1"/>
  <c r="F29" i="75" s="1"/>
  <c r="X163" i="72"/>
  <c r="U163" i="72"/>
  <c r="W163" i="72"/>
  <c r="X165" i="72"/>
  <c r="K238" i="52" s="1"/>
  <c r="U165" i="72"/>
  <c r="K235" i="52" s="1"/>
  <c r="K255" i="52" s="1"/>
  <c r="K68" i="68"/>
  <c r="D25" i="28"/>
  <c r="K57" i="70"/>
  <c r="K72" i="70"/>
  <c r="K56" i="70"/>
  <c r="K59" i="70"/>
  <c r="K66" i="70"/>
  <c r="K73" i="70"/>
  <c r="K68" i="70"/>
  <c r="K71" i="70"/>
  <c r="K55" i="70"/>
  <c r="K62" i="70"/>
  <c r="K69" i="70"/>
  <c r="K64" i="70"/>
  <c r="K67" i="70"/>
  <c r="K74" i="70"/>
  <c r="K58" i="70"/>
  <c r="K65" i="70"/>
  <c r="K60" i="70"/>
  <c r="K63" i="70"/>
  <c r="K70" i="70"/>
  <c r="K54" i="70"/>
  <c r="K61" i="70"/>
  <c r="Q64" i="60"/>
  <c r="W64" i="60"/>
  <c r="N47" i="60"/>
  <c r="I59" i="60"/>
  <c r="I51" i="60"/>
  <c r="I55" i="60" s="1"/>
  <c r="M51" i="60"/>
  <c r="W47" i="60"/>
  <c r="V59" i="60"/>
  <c r="Q59" i="60"/>
  <c r="L59" i="60"/>
  <c r="F43" i="60"/>
  <c r="F51" i="60"/>
  <c r="N59" i="60"/>
  <c r="N68" i="60" s="1"/>
  <c r="T59" i="60"/>
  <c r="N51" i="60"/>
  <c r="Y43" i="60"/>
  <c r="G47" i="60"/>
  <c r="F59" i="60"/>
  <c r="F68" i="60" s="1"/>
  <c r="M59" i="60"/>
  <c r="H59" i="60"/>
  <c r="H68" i="60" s="1"/>
  <c r="U51" i="60"/>
  <c r="V47" i="60"/>
  <c r="P23" i="60"/>
  <c r="R19" i="60"/>
  <c r="T27" i="60"/>
  <c r="P19" i="60"/>
  <c r="K23" i="60"/>
  <c r="F27" i="60"/>
  <c r="Y27" i="60"/>
  <c r="X27" i="60"/>
  <c r="Y35" i="60"/>
  <c r="H23" i="60"/>
  <c r="H65" i="60" s="1"/>
  <c r="W23" i="60"/>
  <c r="R27" i="60"/>
  <c r="R66" i="60" s="1"/>
  <c r="Q35" i="60"/>
  <c r="M19" i="60"/>
  <c r="V35" i="60"/>
  <c r="P35" i="60"/>
  <c r="P68" i="60" s="1"/>
  <c r="K35" i="60"/>
  <c r="G19" i="60"/>
  <c r="V19" i="60"/>
  <c r="U23" i="60"/>
  <c r="K65" i="60"/>
  <c r="I64" i="60"/>
  <c r="R43" i="60"/>
  <c r="P47" i="60"/>
  <c r="K59" i="60"/>
  <c r="K68" i="60" s="1"/>
  <c r="U59" i="60"/>
  <c r="U68" i="60" s="1"/>
  <c r="K43" i="60"/>
  <c r="R59" i="60"/>
  <c r="T51" i="60"/>
  <c r="O51" i="60"/>
  <c r="Q47" i="60"/>
  <c r="J47" i="60"/>
  <c r="Q51" i="60"/>
  <c r="Q66" i="60" s="1"/>
  <c r="G51" i="60"/>
  <c r="G66" i="60" s="1"/>
  <c r="V43" i="60"/>
  <c r="X51" i="60"/>
  <c r="Y47" i="60"/>
  <c r="Y51" i="60"/>
  <c r="P51" i="60"/>
  <c r="P66" i="60" s="1"/>
  <c r="K51" i="60"/>
  <c r="K66" i="60" s="1"/>
  <c r="U43" i="60"/>
  <c r="F47" i="60"/>
  <c r="G35" i="60"/>
  <c r="M27" i="60"/>
  <c r="T35" i="60"/>
  <c r="S35" i="60"/>
  <c r="O19" i="60"/>
  <c r="J23" i="60"/>
  <c r="J31" i="60" s="1"/>
  <c r="I27" i="60"/>
  <c r="I31" i="60" s="1"/>
  <c r="W35" i="60"/>
  <c r="X35" i="60"/>
  <c r="X68" i="60" s="1"/>
  <c r="L19" i="60"/>
  <c r="G23" i="60"/>
  <c r="V23" i="60"/>
  <c r="U27" i="60"/>
  <c r="L35" i="60"/>
  <c r="N23" i="60"/>
  <c r="T23" i="60"/>
  <c r="O27" i="60"/>
  <c r="J35" i="60"/>
  <c r="J68" i="60" s="1"/>
  <c r="F19" i="60"/>
  <c r="Y19" i="60"/>
  <c r="H43" i="60"/>
  <c r="W51" i="60"/>
  <c r="R47" i="60"/>
  <c r="R65" i="60" s="1"/>
  <c r="H51" i="60"/>
  <c r="W59" i="60"/>
  <c r="U47" i="60"/>
  <c r="X47" i="60"/>
  <c r="X65" i="60" s="1"/>
  <c r="S47" i="60"/>
  <c r="S55" i="60" s="1"/>
  <c r="S59" i="60"/>
  <c r="N43" i="60"/>
  <c r="Y59" i="60"/>
  <c r="O43" i="60"/>
  <c r="X43" i="60"/>
  <c r="L47" i="60"/>
  <c r="L65" i="60" s="1"/>
  <c r="G59" i="60"/>
  <c r="M47" i="60"/>
  <c r="T47" i="60"/>
  <c r="O47" i="60"/>
  <c r="O59" i="60"/>
  <c r="J43" i="60"/>
  <c r="S19" i="60"/>
  <c r="Q23" i="60"/>
  <c r="Q31" i="60" s="1"/>
  <c r="H27" i="60"/>
  <c r="W27" i="60"/>
  <c r="R35" i="60"/>
  <c r="N19" i="60"/>
  <c r="M23" i="60"/>
  <c r="O23" i="60"/>
  <c r="L27" i="60"/>
  <c r="L66" i="60" s="1"/>
  <c r="O35" i="60"/>
  <c r="K19" i="60"/>
  <c r="F23" i="60"/>
  <c r="Y23" i="60"/>
  <c r="T19" i="60"/>
  <c r="I35" i="60"/>
  <c r="X19" i="60"/>
  <c r="S23" i="60"/>
  <c r="N27" i="60"/>
  <c r="M35" i="60"/>
  <c r="E154" i="56"/>
  <c r="V158" i="56"/>
  <c r="K382" i="56" s="1"/>
  <c r="U158" i="56"/>
  <c r="K381" i="56" s="1"/>
  <c r="F154" i="56"/>
  <c r="G154" i="56"/>
  <c r="W158" i="56"/>
  <c r="K383" i="56" s="1"/>
  <c r="E158" i="56"/>
  <c r="K365" i="56" s="1"/>
  <c r="P153" i="56"/>
  <c r="X153" i="56"/>
  <c r="X154" i="56" s="1"/>
  <c r="N153" i="56"/>
  <c r="N158" i="56" s="1"/>
  <c r="K374" i="56" s="1"/>
  <c r="R158" i="56"/>
  <c r="K378" i="56" s="1"/>
  <c r="V330" i="56"/>
  <c r="V339" i="56" s="1"/>
  <c r="L153" i="56"/>
  <c r="L158" i="56" s="1"/>
  <c r="K372" i="56" s="1"/>
  <c r="H154" i="56"/>
  <c r="K153" i="56"/>
  <c r="K158" i="56" s="1"/>
  <c r="K371" i="56" s="1"/>
  <c r="J153" i="56"/>
  <c r="J158" i="56" s="1"/>
  <c r="K370" i="56" s="1"/>
  <c r="F81" i="56"/>
  <c r="E157" i="56"/>
  <c r="F157" i="56"/>
  <c r="J366" i="56" s="1"/>
  <c r="E283" i="56"/>
  <c r="P365" i="56" s="1"/>
  <c r="B48" i="28"/>
  <c r="C11" i="28" s="1"/>
  <c r="C15" i="28" s="1"/>
  <c r="D36" i="75" s="1"/>
  <c r="J15" i="28" a="1"/>
  <c r="D23" i="28"/>
  <c r="R59" i="62"/>
  <c r="R56" i="62"/>
  <c r="R71" i="62"/>
  <c r="R58" i="62"/>
  <c r="R73" i="62"/>
  <c r="R63" i="62"/>
  <c r="R60" i="62"/>
  <c r="R61" i="62"/>
  <c r="Q74" i="62"/>
  <c r="R72" i="62"/>
  <c r="R64" i="62"/>
  <c r="R65" i="62"/>
  <c r="R53" i="62"/>
  <c r="P74" i="62"/>
  <c r="R67" i="62"/>
  <c r="R66" i="62"/>
  <c r="R57" i="62"/>
  <c r="R54" i="62"/>
  <c r="R70" i="62"/>
  <c r="R68" i="62"/>
  <c r="R62" i="62"/>
  <c r="R69" i="62"/>
  <c r="R55" i="62"/>
  <c r="E51" i="60"/>
  <c r="E43" i="60"/>
  <c r="G329" i="56"/>
  <c r="G338" i="56" s="1"/>
  <c r="J329" i="56"/>
  <c r="J338" i="56" s="1"/>
  <c r="J345" i="56" s="1"/>
  <c r="I329" i="56"/>
  <c r="I338" i="56" s="1"/>
  <c r="I345" i="56" s="1"/>
  <c r="V329" i="56"/>
  <c r="V338" i="56" s="1"/>
  <c r="P329" i="56"/>
  <c r="P338" i="56" s="1"/>
  <c r="P345" i="56" s="1"/>
  <c r="H329" i="56"/>
  <c r="H338" i="56" s="1"/>
  <c r="H345" i="56" s="1"/>
  <c r="M267" i="56"/>
  <c r="M276" i="56" s="1"/>
  <c r="M283" i="56" s="1"/>
  <c r="N267" i="56"/>
  <c r="N276" i="56" s="1"/>
  <c r="V267" i="56"/>
  <c r="V276" i="56" s="1"/>
  <c r="V283" i="56" s="1"/>
  <c r="H276" i="56"/>
  <c r="H283" i="56" s="1"/>
  <c r="R164" i="56"/>
  <c r="R100" i="56"/>
  <c r="W202" i="56"/>
  <c r="W214" i="56" s="1"/>
  <c r="S100" i="56"/>
  <c r="L100" i="56"/>
  <c r="P202" i="56"/>
  <c r="P214" i="56" s="1"/>
  <c r="H202" i="56"/>
  <c r="H214" i="56" s="1"/>
  <c r="R202" i="56"/>
  <c r="R214" i="56" s="1"/>
  <c r="S202" i="56"/>
  <c r="S214" i="56" s="1"/>
  <c r="V202" i="56"/>
  <c r="V214" i="56" s="1"/>
  <c r="K100" i="56"/>
  <c r="M202" i="56"/>
  <c r="M214" i="56" s="1"/>
  <c r="U202" i="56"/>
  <c r="U214" i="56" s="1"/>
  <c r="Q100" i="56"/>
  <c r="N164" i="56"/>
  <c r="Q164" i="56"/>
  <c r="W164" i="56"/>
  <c r="P100" i="56"/>
  <c r="T164" i="56"/>
  <c r="S138" i="56"/>
  <c r="S150" i="56" s="1"/>
  <c r="S164" i="56"/>
  <c r="G164" i="56"/>
  <c r="P164" i="56"/>
  <c r="K164" i="56"/>
  <c r="U100" i="56"/>
  <c r="I164" i="56"/>
  <c r="N100" i="56"/>
  <c r="V138" i="56"/>
  <c r="V150" i="56" s="1"/>
  <c r="V164" i="56"/>
  <c r="M138" i="56"/>
  <c r="M164" i="56"/>
  <c r="L164" i="56"/>
  <c r="U164" i="56"/>
  <c r="J138" i="56"/>
  <c r="J150" i="56" s="1"/>
  <c r="J164" i="56"/>
  <c r="G100" i="56"/>
  <c r="O138" i="56"/>
  <c r="O150" i="56" s="1"/>
  <c r="O164" i="56"/>
  <c r="H164" i="56"/>
  <c r="V100" i="56"/>
  <c r="I100" i="56"/>
  <c r="H100" i="56"/>
  <c r="T100" i="56"/>
  <c r="J100" i="56"/>
  <c r="W100" i="56"/>
  <c r="M100" i="56"/>
  <c r="O100" i="56"/>
  <c r="I78" i="56"/>
  <c r="I90" i="56" s="1"/>
  <c r="I95" i="56" s="1"/>
  <c r="K78" i="56"/>
  <c r="K90" i="56" s="1"/>
  <c r="K95" i="56" s="1"/>
  <c r="L78" i="56"/>
  <c r="L90" i="56" s="1"/>
  <c r="L95" i="56" s="1"/>
  <c r="N78" i="56"/>
  <c r="N90" i="56" s="1"/>
  <c r="N95" i="56" s="1"/>
  <c r="G78" i="56"/>
  <c r="G90" i="56" s="1"/>
  <c r="G95" i="56" s="1"/>
  <c r="V75" i="56"/>
  <c r="V87" i="56" s="1"/>
  <c r="T380" i="56"/>
  <c r="Q374" i="56"/>
  <c r="Q378" i="56"/>
  <c r="Q366" i="56"/>
  <c r="T383" i="56"/>
  <c r="T371" i="56"/>
  <c r="T374" i="56"/>
  <c r="N382" i="56"/>
  <c r="K367" i="56"/>
  <c r="N373" i="56"/>
  <c r="Q376" i="56"/>
  <c r="T370" i="56"/>
  <c r="T384" i="56"/>
  <c r="T366" i="56"/>
  <c r="Q380" i="56"/>
  <c r="T377" i="56"/>
  <c r="Q370" i="56"/>
  <c r="Q367" i="56"/>
  <c r="N368" i="56"/>
  <c r="T365" i="56"/>
  <c r="N365" i="56"/>
  <c r="Q384" i="56"/>
  <c r="N381" i="56"/>
  <c r="N370" i="56"/>
  <c r="K364" i="56"/>
  <c r="T369" i="56"/>
  <c r="Q382" i="56"/>
  <c r="Q381" i="56"/>
  <c r="N384" i="56"/>
  <c r="N377" i="56"/>
  <c r="T378" i="56"/>
  <c r="Q364" i="56"/>
  <c r="N372" i="56"/>
  <c r="N378" i="56"/>
  <c r="T379" i="56"/>
  <c r="Q368" i="56"/>
  <c r="Q375" i="56"/>
  <c r="N366" i="56"/>
  <c r="N383" i="56"/>
  <c r="N371" i="56"/>
  <c r="Q369" i="56"/>
  <c r="T372" i="56"/>
  <c r="T367" i="56"/>
  <c r="T381" i="56"/>
  <c r="T382" i="56"/>
  <c r="D14" i="75"/>
  <c r="D16" i="75" s="1"/>
  <c r="K65" i="68"/>
  <c r="J65" i="68"/>
  <c r="L65" i="68" s="1"/>
  <c r="K67" i="68"/>
  <c r="J67" i="68"/>
  <c r="L67" i="68" s="1"/>
  <c r="K66" i="68"/>
  <c r="J66" i="68"/>
  <c r="E59" i="60"/>
  <c r="E47" i="60"/>
  <c r="E19" i="60"/>
  <c r="I204" i="56"/>
  <c r="I216" i="56" s="1"/>
  <c r="I221" i="56" s="1"/>
  <c r="O267" i="56"/>
  <c r="O276" i="56" s="1"/>
  <c r="E35" i="60"/>
  <c r="E27" i="60"/>
  <c r="E23" i="60"/>
  <c r="L68" i="68"/>
  <c r="Q139" i="56"/>
  <c r="Q151" i="56" s="1"/>
  <c r="W76" i="56"/>
  <c r="W88" i="56" s="1"/>
  <c r="G278" i="56"/>
  <c r="T141" i="56"/>
  <c r="N140" i="56"/>
  <c r="N152" i="56" s="1"/>
  <c r="O269" i="56"/>
  <c r="O278" i="56" s="1"/>
  <c r="I278" i="56"/>
  <c r="S78" i="56"/>
  <c r="S90" i="56" s="1"/>
  <c r="S95" i="56" s="1"/>
  <c r="W267" i="56"/>
  <c r="W276" i="56" s="1"/>
  <c r="W203" i="56"/>
  <c r="W215" i="56" s="1"/>
  <c r="V76" i="56"/>
  <c r="V88" i="56" s="1"/>
  <c r="O77" i="56"/>
  <c r="O89" i="56" s="1"/>
  <c r="D112" i="72"/>
  <c r="D125" i="72" s="1"/>
  <c r="R142" i="72" s="1" a="1"/>
  <c r="E218" i="56"/>
  <c r="F87" i="56"/>
  <c r="F94" i="56" s="1"/>
  <c r="D114" i="72"/>
  <c r="D113" i="72"/>
  <c r="D126" i="72" s="1"/>
  <c r="S142" i="72" s="1" a="1"/>
  <c r="D111" i="72"/>
  <c r="I56" i="70"/>
  <c r="D68" i="52" s="1"/>
  <c r="X94" i="56"/>
  <c r="I54" i="62"/>
  <c r="D9" i="52" s="1"/>
  <c r="R330" i="56"/>
  <c r="R339" i="56" s="1"/>
  <c r="K203" i="56"/>
  <c r="K215" i="56" s="1"/>
  <c r="Q141" i="56"/>
  <c r="H332" i="56"/>
  <c r="H341" i="56" s="1"/>
  <c r="H346" i="56" s="1"/>
  <c r="T78" i="56"/>
  <c r="T90" i="56" s="1"/>
  <c r="T95" i="56" s="1"/>
  <c r="O205" i="56"/>
  <c r="O217" i="56" s="1"/>
  <c r="O222" i="56" s="1"/>
  <c r="L140" i="56"/>
  <c r="L152" i="56" s="1"/>
  <c r="X280" i="56"/>
  <c r="D79" i="56"/>
  <c r="D91" i="56" s="1"/>
  <c r="F79" i="56"/>
  <c r="F91" i="56" s="1"/>
  <c r="I60" i="54"/>
  <c r="E79" i="56"/>
  <c r="E91" i="56" s="1"/>
  <c r="I54" i="70"/>
  <c r="D66" i="52" s="1"/>
  <c r="W139" i="56"/>
  <c r="W151" i="56" s="1"/>
  <c r="L270" i="56"/>
  <c r="L279" i="56" s="1"/>
  <c r="L284" i="56" s="1"/>
  <c r="T94" i="56"/>
  <c r="K270" i="56"/>
  <c r="K279" i="56" s="1"/>
  <c r="K284" i="56" s="1"/>
  <c r="G204" i="56"/>
  <c r="G216" i="56" s="1"/>
  <c r="G221" i="56" s="1"/>
  <c r="S331" i="56"/>
  <c r="S340" i="56" s="1"/>
  <c r="O332" i="56"/>
  <c r="O341" i="56" s="1"/>
  <c r="O346" i="56" s="1"/>
  <c r="N268" i="56"/>
  <c r="N277" i="56" s="1"/>
  <c r="S330" i="56"/>
  <c r="S339" i="56" s="1"/>
  <c r="W140" i="56"/>
  <c r="W152" i="56" s="1"/>
  <c r="S139" i="56"/>
  <c r="S151" i="56" s="1"/>
  <c r="V140" i="56"/>
  <c r="V152" i="56" s="1"/>
  <c r="Q140" i="56"/>
  <c r="Q152" i="56" s="1"/>
  <c r="U329" i="56"/>
  <c r="U338" i="56" s="1"/>
  <c r="N205" i="56"/>
  <c r="N217" i="56" s="1"/>
  <c r="N222" i="56" s="1"/>
  <c r="K77" i="56"/>
  <c r="K89" i="56" s="1"/>
  <c r="V78" i="56"/>
  <c r="V90" i="56" s="1"/>
  <c r="V95" i="56" s="1"/>
  <c r="J267" i="56"/>
  <c r="J276" i="56" s="1"/>
  <c r="J283" i="56" s="1"/>
  <c r="W78" i="56"/>
  <c r="W90" i="56" s="1"/>
  <c r="W95" i="56" s="1"/>
  <c r="M270" i="56"/>
  <c r="M279" i="56" s="1"/>
  <c r="M284" i="56" s="1"/>
  <c r="X157" i="56"/>
  <c r="R139" i="56"/>
  <c r="R151" i="56" s="1"/>
  <c r="I205" i="56"/>
  <c r="I217" i="56" s="1"/>
  <c r="I222" i="56" s="1"/>
  <c r="X81" i="56"/>
  <c r="W269" i="56"/>
  <c r="W278" i="56" s="1"/>
  <c r="I77" i="56"/>
  <c r="I89" i="56" s="1"/>
  <c r="J203" i="56"/>
  <c r="J215" i="56" s="1"/>
  <c r="K268" i="56"/>
  <c r="K277" i="56" s="1"/>
  <c r="R331" i="56"/>
  <c r="R340" i="56" s="1"/>
  <c r="V204" i="56"/>
  <c r="V216" i="56" s="1"/>
  <c r="R77" i="56"/>
  <c r="R89" i="56" s="1"/>
  <c r="S140" i="56"/>
  <c r="S152" i="56" s="1"/>
  <c r="N329" i="56"/>
  <c r="N338" i="56" s="1"/>
  <c r="N345" i="56" s="1"/>
  <c r="O329" i="56"/>
  <c r="O338" i="56" s="1"/>
  <c r="X79" i="56"/>
  <c r="X91" i="56" s="1"/>
  <c r="P205" i="56"/>
  <c r="P217" i="56" s="1"/>
  <c r="P222" i="56" s="1"/>
  <c r="G330" i="56"/>
  <c r="G339" i="56" s="1"/>
  <c r="T63" i="56"/>
  <c r="T79" i="56" s="1"/>
  <c r="T91" i="56" s="1"/>
  <c r="V203" i="56"/>
  <c r="V215" i="56" s="1"/>
  <c r="J140" i="56"/>
  <c r="J152" i="56" s="1"/>
  <c r="I157" i="56"/>
  <c r="M204" i="56"/>
  <c r="M216" i="56" s="1"/>
  <c r="G277" i="56"/>
  <c r="P332" i="56"/>
  <c r="P341" i="56" s="1"/>
  <c r="P346" i="56" s="1"/>
  <c r="N204" i="56"/>
  <c r="N216" i="56" s="1"/>
  <c r="N221" i="56" s="1"/>
  <c r="R267" i="56"/>
  <c r="R276" i="56" s="1"/>
  <c r="P138" i="56"/>
  <c r="P267" i="56"/>
  <c r="P276" i="56" s="1"/>
  <c r="P283" i="56" s="1"/>
  <c r="G276" i="56"/>
  <c r="N77" i="56"/>
  <c r="N89" i="56" s="1"/>
  <c r="L267" i="56"/>
  <c r="L276" i="56" s="1"/>
  <c r="L202" i="56"/>
  <c r="L214" i="56" s="1"/>
  <c r="L269" i="56"/>
  <c r="L278" i="56" s="1"/>
  <c r="N138" i="56"/>
  <c r="N150" i="56" s="1"/>
  <c r="T205" i="56"/>
  <c r="T217" i="56" s="1"/>
  <c r="T222" i="56" s="1"/>
  <c r="S270" i="56"/>
  <c r="S279" i="56" s="1"/>
  <c r="S284" i="56" s="1"/>
  <c r="O202" i="56"/>
  <c r="O214" i="56" s="1"/>
  <c r="S77" i="56"/>
  <c r="S89" i="56" s="1"/>
  <c r="W138" i="56"/>
  <c r="W150" i="56" s="1"/>
  <c r="I141" i="56"/>
  <c r="W331" i="56"/>
  <c r="W340" i="56" s="1"/>
  <c r="U77" i="56"/>
  <c r="U89" i="56" s="1"/>
  <c r="J202" i="56"/>
  <c r="J214" i="56" s="1"/>
  <c r="R269" i="56"/>
  <c r="R278" i="56" s="1"/>
  <c r="R203" i="56"/>
  <c r="R215" i="56" s="1"/>
  <c r="T280" i="56"/>
  <c r="E94" i="56"/>
  <c r="G205" i="56"/>
  <c r="G217" i="56" s="1"/>
  <c r="G222" i="56" s="1"/>
  <c r="Q331" i="56"/>
  <c r="Q340" i="56" s="1"/>
  <c r="K269" i="56"/>
  <c r="K278" i="56" s="1"/>
  <c r="M78" i="56"/>
  <c r="M90" i="56" s="1"/>
  <c r="M95" i="56" s="1"/>
  <c r="M332" i="56"/>
  <c r="M341" i="56" s="1"/>
  <c r="M346" i="56" s="1"/>
  <c r="U331" i="56"/>
  <c r="U340" i="56" s="1"/>
  <c r="K330" i="56"/>
  <c r="K339" i="56" s="1"/>
  <c r="K342" i="56" s="1"/>
  <c r="R204" i="56"/>
  <c r="R216" i="56" s="1"/>
  <c r="R76" i="56"/>
  <c r="R88" i="56" s="1"/>
  <c r="S141" i="56"/>
  <c r="U138" i="56"/>
  <c r="U267" i="56"/>
  <c r="U276" i="56" s="1"/>
  <c r="U283" i="56" s="1"/>
  <c r="E81" i="56"/>
  <c r="S76" i="56"/>
  <c r="S88" i="56" s="1"/>
  <c r="W270" i="56"/>
  <c r="W279" i="56" s="1"/>
  <c r="W284" i="56" s="1"/>
  <c r="Q77" i="56"/>
  <c r="Q89" i="56" s="1"/>
  <c r="W329" i="56"/>
  <c r="W338" i="56" s="1"/>
  <c r="V63" i="56"/>
  <c r="T221" i="56"/>
  <c r="G76" i="56"/>
  <c r="G88" i="56" s="1"/>
  <c r="Q221" i="56"/>
  <c r="H158" i="56"/>
  <c r="T157" i="56"/>
  <c r="P78" i="56"/>
  <c r="P90" i="56" s="1"/>
  <c r="P95" i="56" s="1"/>
  <c r="R75" i="56"/>
  <c r="D154" i="56"/>
  <c r="D157" i="56"/>
  <c r="E54" i="60"/>
  <c r="Q283" i="56"/>
  <c r="K140" i="56"/>
  <c r="M141" i="56"/>
  <c r="S268" i="56"/>
  <c r="S277" i="56" s="1"/>
  <c r="S283" i="56" s="1"/>
  <c r="T283" i="56"/>
  <c r="Q330" i="56"/>
  <c r="Q339" i="56" s="1"/>
  <c r="S205" i="56"/>
  <c r="S217" i="56" s="1"/>
  <c r="S222" i="56" s="1"/>
  <c r="I75" i="56"/>
  <c r="I87" i="56" s="1"/>
  <c r="E345" i="56"/>
  <c r="G331" i="56"/>
  <c r="G340" i="56" s="1"/>
  <c r="O141" i="56"/>
  <c r="Q270" i="56"/>
  <c r="Q279" i="56" s="1"/>
  <c r="Q284" i="56" s="1"/>
  <c r="V331" i="56"/>
  <c r="V340" i="56" s="1"/>
  <c r="G75" i="56"/>
  <c r="G87" i="56" s="1"/>
  <c r="W77" i="56"/>
  <c r="W89" i="56" s="1"/>
  <c r="K204" i="56"/>
  <c r="K216" i="56" s="1"/>
  <c r="O140" i="56"/>
  <c r="O152" i="56" s="1"/>
  <c r="V77" i="56"/>
  <c r="V89" i="56" s="1"/>
  <c r="L138" i="56"/>
  <c r="L150" i="56" s="1"/>
  <c r="R140" i="56"/>
  <c r="R152" i="56" s="1"/>
  <c r="P76" i="56"/>
  <c r="P63" i="56"/>
  <c r="S75" i="56"/>
  <c r="S63" i="56"/>
  <c r="W75" i="56"/>
  <c r="W63" i="56"/>
  <c r="U75" i="56"/>
  <c r="U63" i="56"/>
  <c r="N75" i="56"/>
  <c r="N63" i="56"/>
  <c r="R63" i="56"/>
  <c r="L75" i="56"/>
  <c r="L63" i="56"/>
  <c r="M63" i="56"/>
  <c r="M75" i="56"/>
  <c r="D81" i="56"/>
  <c r="D87" i="56"/>
  <c r="D94" i="56" s="1"/>
  <c r="G77" i="56"/>
  <c r="G63" i="56"/>
  <c r="H75" i="56"/>
  <c r="H63" i="56"/>
  <c r="H79" i="56" s="1"/>
  <c r="H91" i="56" s="1"/>
  <c r="Q76" i="56"/>
  <c r="Q63" i="56"/>
  <c r="O63" i="56"/>
  <c r="O75" i="56"/>
  <c r="Q218" i="56"/>
  <c r="E342" i="56"/>
  <c r="I63" i="56"/>
  <c r="J63" i="56"/>
  <c r="J79" i="56" s="1"/>
  <c r="J91" i="56" s="1"/>
  <c r="J75" i="56"/>
  <c r="K76" i="56"/>
  <c r="K63" i="56"/>
  <c r="I80" i="54"/>
  <c r="D57" i="52" s="1"/>
  <c r="I73" i="62"/>
  <c r="D28" i="52" s="1"/>
  <c r="T364" i="56"/>
  <c r="F345" i="56"/>
  <c r="F342" i="56"/>
  <c r="T345" i="56"/>
  <c r="T342" i="56"/>
  <c r="L345" i="56"/>
  <c r="L342" i="56"/>
  <c r="D345" i="56"/>
  <c r="D342" i="56"/>
  <c r="M345" i="56"/>
  <c r="X345" i="56"/>
  <c r="X342" i="56"/>
  <c r="F283" i="56"/>
  <c r="F280" i="56"/>
  <c r="E284" i="56"/>
  <c r="E280" i="56"/>
  <c r="D283" i="56"/>
  <c r="D280" i="56"/>
  <c r="X283" i="56"/>
  <c r="D221" i="56"/>
  <c r="D218" i="56"/>
  <c r="E221" i="56"/>
  <c r="N364" i="56"/>
  <c r="X218" i="56"/>
  <c r="X221" i="56"/>
  <c r="F221" i="56"/>
  <c r="F218" i="56"/>
  <c r="E32" i="75" l="1"/>
  <c r="F245" i="52"/>
  <c r="C44" i="75"/>
  <c r="K31" i="60"/>
  <c r="Y68" i="60"/>
  <c r="G68" i="60"/>
  <c r="T80" i="60" a="1"/>
  <c r="T83" i="60" s="1"/>
  <c r="T65" i="60"/>
  <c r="S68" i="60"/>
  <c r="W68" i="60"/>
  <c r="F31" i="60"/>
  <c r="T66" i="60"/>
  <c r="W31" i="60"/>
  <c r="P65" i="60"/>
  <c r="U31" i="60"/>
  <c r="P31" i="60"/>
  <c r="N165" i="72"/>
  <c r="N166" i="72" s="1"/>
  <c r="J396" i="56" a="1"/>
  <c r="J402" i="56" s="1"/>
  <c r="W366" i="56"/>
  <c r="K396" i="56" a="1"/>
  <c r="K396" i="56" s="1"/>
  <c r="I396" i="56" a="1"/>
  <c r="I415" i="56" s="1"/>
  <c r="H396" i="56" a="1"/>
  <c r="H403" i="56" s="1"/>
  <c r="W364" i="56"/>
  <c r="W378" i="56"/>
  <c r="W381" i="56"/>
  <c r="W382" i="56"/>
  <c r="W370" i="56"/>
  <c r="D127" i="72"/>
  <c r="T142" i="72" s="1" a="1"/>
  <c r="T150" i="72" s="1"/>
  <c r="H142" i="72" a="1"/>
  <c r="D124" i="72"/>
  <c r="Q142" i="72" s="1" a="1"/>
  <c r="G142" i="72" a="1"/>
  <c r="K91" i="68"/>
  <c r="J91" i="68"/>
  <c r="M58" i="52"/>
  <c r="F210" i="52" s="1"/>
  <c r="E24" i="75" s="1"/>
  <c r="N58" i="52"/>
  <c r="G210" i="52" s="1"/>
  <c r="F24" i="75" s="1"/>
  <c r="U80" i="60" a="1"/>
  <c r="X31" i="60"/>
  <c r="V80" i="60" a="1"/>
  <c r="L80" i="60" a="1"/>
  <c r="P64" i="60"/>
  <c r="M31" i="60"/>
  <c r="H31" i="60"/>
  <c r="R31" i="60"/>
  <c r="V68" i="60"/>
  <c r="I68" i="60"/>
  <c r="X166" i="72"/>
  <c r="X66" i="60"/>
  <c r="U166" i="72"/>
  <c r="S80" i="60" a="1"/>
  <c r="G396" i="56" a="1"/>
  <c r="T31" i="60"/>
  <c r="O65" i="60"/>
  <c r="U65" i="60"/>
  <c r="Y66" i="60"/>
  <c r="L163" i="72"/>
  <c r="N145" i="72"/>
  <c r="N163" i="72" s="1"/>
  <c r="R82" i="54"/>
  <c r="I26" i="75" s="1"/>
  <c r="Z83" i="54"/>
  <c r="Z81" i="54"/>
  <c r="V75" i="70"/>
  <c r="F231" i="52" s="1"/>
  <c r="R75" i="62"/>
  <c r="R76" i="62" s="1"/>
  <c r="D48" i="28"/>
  <c r="J16" i="28" a="1"/>
  <c r="Q16" i="28" s="1"/>
  <c r="M55" i="60"/>
  <c r="Y346" i="56"/>
  <c r="G55" i="60"/>
  <c r="N154" i="56"/>
  <c r="R154" i="56"/>
  <c r="H364" i="56" a="1"/>
  <c r="H372" i="56" s="1"/>
  <c r="S142" i="72"/>
  <c r="S153" i="72"/>
  <c r="S145" i="72"/>
  <c r="S161" i="72"/>
  <c r="S149" i="72"/>
  <c r="S157" i="72"/>
  <c r="S156" i="72"/>
  <c r="S159" i="72"/>
  <c r="S143" i="72"/>
  <c r="S150" i="72"/>
  <c r="S152" i="72"/>
  <c r="S155" i="72"/>
  <c r="S162" i="72"/>
  <c r="S146" i="72"/>
  <c r="S148" i="72"/>
  <c r="S151" i="72"/>
  <c r="S158" i="72"/>
  <c r="S160" i="72"/>
  <c r="S144" i="72"/>
  <c r="S147" i="72"/>
  <c r="S154" i="72"/>
  <c r="P55" i="60"/>
  <c r="R142" i="72"/>
  <c r="R145" i="72"/>
  <c r="R161" i="72"/>
  <c r="R149" i="72"/>
  <c r="R157" i="72"/>
  <c r="R153" i="72"/>
  <c r="R152" i="72"/>
  <c r="R155" i="72"/>
  <c r="R162" i="72"/>
  <c r="R146" i="72"/>
  <c r="R148" i="72"/>
  <c r="R151" i="72"/>
  <c r="R158" i="72"/>
  <c r="R160" i="72"/>
  <c r="R144" i="72"/>
  <c r="R147" i="72"/>
  <c r="R154" i="72"/>
  <c r="R156" i="72"/>
  <c r="R159" i="72"/>
  <c r="R143" i="72"/>
  <c r="R150" i="72"/>
  <c r="S31" i="60"/>
  <c r="S67" i="60" s="1"/>
  <c r="Y65" i="60"/>
  <c r="G31" i="60"/>
  <c r="F66" i="60"/>
  <c r="Q55" i="60"/>
  <c r="Q67" i="60" s="1"/>
  <c r="J55" i="60"/>
  <c r="J67" i="60" s="1"/>
  <c r="J69" i="60" s="1"/>
  <c r="J64" i="60"/>
  <c r="M65" i="60"/>
  <c r="O55" i="60"/>
  <c r="O64" i="60"/>
  <c r="S65" i="60"/>
  <c r="H66" i="60"/>
  <c r="T64" i="60"/>
  <c r="G64" i="60"/>
  <c r="L31" i="60"/>
  <c r="J65" i="60"/>
  <c r="R68" i="60"/>
  <c r="L64" i="60"/>
  <c r="M68" i="60"/>
  <c r="N66" i="60"/>
  <c r="F55" i="60"/>
  <c r="F64" i="60"/>
  <c r="W65" i="60"/>
  <c r="N65" i="60"/>
  <c r="X64" i="60"/>
  <c r="X55" i="60"/>
  <c r="T55" i="60"/>
  <c r="U64" i="60"/>
  <c r="U55" i="60"/>
  <c r="O68" i="60"/>
  <c r="S64" i="60"/>
  <c r="O31" i="60"/>
  <c r="V55" i="60"/>
  <c r="V64" i="60"/>
  <c r="Q65" i="60"/>
  <c r="K55" i="60"/>
  <c r="K64" i="60"/>
  <c r="R64" i="60"/>
  <c r="R55" i="60"/>
  <c r="I67" i="60"/>
  <c r="L55" i="60"/>
  <c r="V65" i="60"/>
  <c r="T68" i="60"/>
  <c r="L68" i="60"/>
  <c r="M66" i="60"/>
  <c r="H64" i="60"/>
  <c r="H55" i="60"/>
  <c r="Y64" i="60"/>
  <c r="Y55" i="60"/>
  <c r="N31" i="60"/>
  <c r="N64" i="60"/>
  <c r="N55" i="60"/>
  <c r="W66" i="60"/>
  <c r="M64" i="60"/>
  <c r="Y31" i="60"/>
  <c r="F65" i="60"/>
  <c r="O66" i="60"/>
  <c r="V31" i="60"/>
  <c r="U66" i="60"/>
  <c r="G65" i="60"/>
  <c r="Q68" i="60"/>
  <c r="I66" i="60"/>
  <c r="W55" i="60"/>
  <c r="V154" i="56"/>
  <c r="V342" i="56"/>
  <c r="J154" i="56"/>
  <c r="U150" i="56"/>
  <c r="U154" i="56" s="1"/>
  <c r="M153" i="56"/>
  <c r="M158" i="56" s="1"/>
  <c r="K373" i="56" s="1"/>
  <c r="S153" i="56"/>
  <c r="S158" i="56" s="1"/>
  <c r="K379" i="56" s="1"/>
  <c r="O221" i="56"/>
  <c r="O223" i="56" s="1"/>
  <c r="W154" i="56"/>
  <c r="U218" i="56"/>
  <c r="S221" i="56"/>
  <c r="S223" i="56" s="1"/>
  <c r="Q153" i="56"/>
  <c r="Q158" i="56" s="1"/>
  <c r="K377" i="56" s="1"/>
  <c r="I153" i="56"/>
  <c r="I154" i="56" s="1"/>
  <c r="L221" i="56"/>
  <c r="M372" i="56" s="1"/>
  <c r="T153" i="56"/>
  <c r="T154" i="56" s="1"/>
  <c r="E159" i="56"/>
  <c r="E161" i="56" s="1"/>
  <c r="X158" i="56"/>
  <c r="K384" i="56" s="1"/>
  <c r="W384" i="56" s="1"/>
  <c r="M150" i="56"/>
  <c r="P221" i="56"/>
  <c r="M376" i="56" s="1"/>
  <c r="K152" i="56"/>
  <c r="K154" i="56" s="1"/>
  <c r="O153" i="56"/>
  <c r="O154" i="56" s="1"/>
  <c r="P150" i="56"/>
  <c r="P157" i="56" s="1"/>
  <c r="H218" i="56"/>
  <c r="L154" i="56"/>
  <c r="P158" i="56"/>
  <c r="K376" i="56" s="1"/>
  <c r="F159" i="56"/>
  <c r="F161" i="56" s="1"/>
  <c r="J365" i="56"/>
  <c r="I342" i="56"/>
  <c r="L15" i="28"/>
  <c r="N15" i="28"/>
  <c r="S15" i="28"/>
  <c r="Y15" i="28"/>
  <c r="AD15" i="28"/>
  <c r="AI15" i="28"/>
  <c r="J15" i="28"/>
  <c r="O15" i="28"/>
  <c r="U15" i="28"/>
  <c r="Z15" i="28"/>
  <c r="AE15" i="28"/>
  <c r="K15" i="28"/>
  <c r="Q15" i="28"/>
  <c r="V15" i="28"/>
  <c r="AA15" i="28"/>
  <c r="AG15" i="28"/>
  <c r="M15" i="28"/>
  <c r="R15" i="28"/>
  <c r="W15" i="28"/>
  <c r="AC15" i="28"/>
  <c r="AH15" i="28"/>
  <c r="T15" i="28"/>
  <c r="AF15" i="28"/>
  <c r="P15" i="28"/>
  <c r="AB15" i="28"/>
  <c r="X15" i="28"/>
  <c r="L66" i="68"/>
  <c r="R63" i="54"/>
  <c r="R81" i="54" s="1"/>
  <c r="P81" i="54"/>
  <c r="R74" i="62"/>
  <c r="V280" i="56"/>
  <c r="H221" i="56"/>
  <c r="M368" i="56" s="1"/>
  <c r="O368" i="56" s="1"/>
  <c r="E128" i="52" s="1"/>
  <c r="M221" i="56"/>
  <c r="M223" i="56" s="1"/>
  <c r="E66" i="60"/>
  <c r="J342" i="56"/>
  <c r="N283" i="56"/>
  <c r="N285" i="56" s="1"/>
  <c r="H280" i="56"/>
  <c r="U221" i="56"/>
  <c r="M381" i="56" s="1"/>
  <c r="J157" i="56"/>
  <c r="W218" i="56"/>
  <c r="H157" i="56"/>
  <c r="J368" i="56" s="1"/>
  <c r="Y164" i="56"/>
  <c r="E96" i="56"/>
  <c r="Q377" i="56"/>
  <c r="J347" i="56"/>
  <c r="T375" i="56"/>
  <c r="T368" i="56"/>
  <c r="S365" i="56"/>
  <c r="U365" i="56" s="1"/>
  <c r="G125" i="52" s="1"/>
  <c r="Q223" i="56"/>
  <c r="Q225" i="56" s="1"/>
  <c r="T373" i="56"/>
  <c r="N380" i="56"/>
  <c r="J384" i="56"/>
  <c r="N379" i="56"/>
  <c r="N369" i="56"/>
  <c r="J364" i="56"/>
  <c r="J380" i="56"/>
  <c r="N376" i="56"/>
  <c r="N374" i="56"/>
  <c r="W374" i="56" s="1"/>
  <c r="Q371" i="56"/>
  <c r="W371" i="56" s="1"/>
  <c r="Q383" i="56"/>
  <c r="W383" i="56" s="1"/>
  <c r="N367" i="56"/>
  <c r="W367" i="56" s="1"/>
  <c r="T376" i="56"/>
  <c r="Q373" i="56"/>
  <c r="P377" i="56"/>
  <c r="K368" i="56"/>
  <c r="Q379" i="56"/>
  <c r="J285" i="56"/>
  <c r="Q372" i="56"/>
  <c r="W372" i="56" s="1"/>
  <c r="N375" i="56"/>
  <c r="F14" i="75"/>
  <c r="E14" i="75"/>
  <c r="E16" i="75" s="1"/>
  <c r="E65" i="60"/>
  <c r="E64" i="60"/>
  <c r="Q157" i="56"/>
  <c r="O280" i="56"/>
  <c r="E31" i="60"/>
  <c r="R79" i="56"/>
  <c r="R91" i="56" s="1"/>
  <c r="Q79" i="56"/>
  <c r="Q91" i="56" s="1"/>
  <c r="I283" i="56"/>
  <c r="M79" i="56"/>
  <c r="M91" i="56" s="1"/>
  <c r="O283" i="56"/>
  <c r="S342" i="56"/>
  <c r="I280" i="56"/>
  <c r="W283" i="56"/>
  <c r="W221" i="56"/>
  <c r="T96" i="56"/>
  <c r="K280" i="56"/>
  <c r="R345" i="56"/>
  <c r="H347" i="56"/>
  <c r="O342" i="56"/>
  <c r="H342" i="56"/>
  <c r="F96" i="56"/>
  <c r="D115" i="72"/>
  <c r="X96" i="56"/>
  <c r="R221" i="56"/>
  <c r="K283" i="56"/>
  <c r="K345" i="56"/>
  <c r="K218" i="56"/>
  <c r="S345" i="56"/>
  <c r="L157" i="56"/>
  <c r="J280" i="56"/>
  <c r="T223" i="56"/>
  <c r="T81" i="56"/>
  <c r="G345" i="56"/>
  <c r="W157" i="56"/>
  <c r="N280" i="56"/>
  <c r="V218" i="56"/>
  <c r="N342" i="56"/>
  <c r="U345" i="56"/>
  <c r="V79" i="56"/>
  <c r="V91" i="56" s="1"/>
  <c r="R342" i="56"/>
  <c r="I218" i="56"/>
  <c r="S157" i="56"/>
  <c r="G183" i="52"/>
  <c r="U342" i="56"/>
  <c r="O79" i="56"/>
  <c r="O91" i="56" s="1"/>
  <c r="S79" i="56"/>
  <c r="S91" i="56" s="1"/>
  <c r="V157" i="56"/>
  <c r="W280" i="56"/>
  <c r="Q342" i="56"/>
  <c r="J221" i="56"/>
  <c r="L218" i="56"/>
  <c r="M218" i="56"/>
  <c r="M280" i="56"/>
  <c r="M342" i="56"/>
  <c r="L283" i="56"/>
  <c r="I94" i="56"/>
  <c r="V221" i="56"/>
  <c r="P218" i="56"/>
  <c r="W342" i="56"/>
  <c r="O345" i="56"/>
  <c r="J218" i="56"/>
  <c r="G280" i="56"/>
  <c r="S285" i="56"/>
  <c r="G342" i="56"/>
  <c r="J369" i="56"/>
  <c r="G283" i="56"/>
  <c r="P342" i="56"/>
  <c r="U79" i="56"/>
  <c r="U91" i="56" s="1"/>
  <c r="W79" i="56"/>
  <c r="W91" i="56" s="1"/>
  <c r="R81" i="56"/>
  <c r="S368" i="56"/>
  <c r="I79" i="56"/>
  <c r="I91" i="56" s="1"/>
  <c r="L79" i="56"/>
  <c r="L91" i="56" s="1"/>
  <c r="N157" i="56"/>
  <c r="O218" i="56"/>
  <c r="R283" i="56"/>
  <c r="P379" i="56"/>
  <c r="K221" i="56"/>
  <c r="N218" i="56"/>
  <c r="L280" i="56"/>
  <c r="G218" i="56"/>
  <c r="Q345" i="56"/>
  <c r="R157" i="56"/>
  <c r="R218" i="56"/>
  <c r="G157" i="56"/>
  <c r="R280" i="56"/>
  <c r="P376" i="56"/>
  <c r="R376" i="56" s="1"/>
  <c r="F136" i="52" s="1"/>
  <c r="P285" i="56"/>
  <c r="M377" i="56"/>
  <c r="O377" i="56" s="1"/>
  <c r="E137" i="52" s="1"/>
  <c r="S370" i="56"/>
  <c r="U370" i="56" s="1"/>
  <c r="G130" i="52" s="1"/>
  <c r="P280" i="56"/>
  <c r="W345" i="56"/>
  <c r="T218" i="56"/>
  <c r="I81" i="56"/>
  <c r="R87" i="56"/>
  <c r="R94" i="56" s="1"/>
  <c r="U280" i="56"/>
  <c r="K79" i="56"/>
  <c r="K91" i="56" s="1"/>
  <c r="N79" i="56"/>
  <c r="N91" i="56" s="1"/>
  <c r="M380" i="56"/>
  <c r="D159" i="56"/>
  <c r="D161" i="56" s="1"/>
  <c r="Q285" i="56"/>
  <c r="V345" i="56"/>
  <c r="V81" i="56"/>
  <c r="E347" i="56"/>
  <c r="V94" i="56"/>
  <c r="P79" i="56"/>
  <c r="P91" i="56" s="1"/>
  <c r="S280" i="56"/>
  <c r="Y222" i="56"/>
  <c r="S218" i="56"/>
  <c r="P370" i="56"/>
  <c r="R370" i="56" s="1"/>
  <c r="F130" i="52" s="1"/>
  <c r="Y95" i="56"/>
  <c r="G79" i="56"/>
  <c r="G91" i="56" s="1"/>
  <c r="O157" i="56"/>
  <c r="P380" i="56"/>
  <c r="R380" i="56" s="1"/>
  <c r="F140" i="52" s="1"/>
  <c r="T285" i="56"/>
  <c r="Q280" i="56"/>
  <c r="K88" i="56"/>
  <c r="K94" i="56" s="1"/>
  <c r="K81" i="56"/>
  <c r="L87" i="56"/>
  <c r="L94" i="56" s="1"/>
  <c r="L81" i="56"/>
  <c r="N81" i="56"/>
  <c r="N87" i="56"/>
  <c r="N94" i="56" s="1"/>
  <c r="J87" i="56"/>
  <c r="J94" i="56" s="1"/>
  <c r="J81" i="56"/>
  <c r="Q88" i="56"/>
  <c r="Q94" i="56" s="1"/>
  <c r="Q81" i="56"/>
  <c r="H87" i="56"/>
  <c r="H94" i="56" s="1"/>
  <c r="H81" i="56"/>
  <c r="P381" i="56"/>
  <c r="R381" i="56" s="1"/>
  <c r="F141" i="52" s="1"/>
  <c r="U285" i="56"/>
  <c r="O81" i="56"/>
  <c r="O87" i="56"/>
  <c r="O94" i="56" s="1"/>
  <c r="G89" i="56"/>
  <c r="G94" i="56" s="1"/>
  <c r="G81" i="56"/>
  <c r="D96" i="56"/>
  <c r="M87" i="56"/>
  <c r="M94" i="56" s="1"/>
  <c r="M81" i="56"/>
  <c r="S81" i="56"/>
  <c r="S87" i="56"/>
  <c r="S94" i="56" s="1"/>
  <c r="U81" i="56"/>
  <c r="U87" i="56"/>
  <c r="U94" i="56" s="1"/>
  <c r="W81" i="56"/>
  <c r="W87" i="56"/>
  <c r="W94" i="56" s="1"/>
  <c r="P88" i="56"/>
  <c r="P94" i="56" s="1"/>
  <c r="P81" i="56"/>
  <c r="I74" i="70"/>
  <c r="D86" i="52" s="1"/>
  <c r="I55" i="70"/>
  <c r="D37" i="52"/>
  <c r="I53" i="62"/>
  <c r="D8" i="52" s="1"/>
  <c r="S364" i="56"/>
  <c r="D347" i="56"/>
  <c r="F347" i="56"/>
  <c r="S366" i="56"/>
  <c r="U366" i="56" s="1"/>
  <c r="G126" i="52" s="1"/>
  <c r="S380" i="56"/>
  <c r="U380" i="56" s="1"/>
  <c r="G140" i="52" s="1"/>
  <c r="T347" i="56"/>
  <c r="N347" i="56"/>
  <c r="S374" i="56"/>
  <c r="U374" i="56" s="1"/>
  <c r="G134" i="52" s="1"/>
  <c r="S369" i="56"/>
  <c r="U369" i="56" s="1"/>
  <c r="G129" i="52" s="1"/>
  <c r="I347" i="56"/>
  <c r="S372" i="56"/>
  <c r="U372" i="56" s="1"/>
  <c r="G132" i="52" s="1"/>
  <c r="L347" i="56"/>
  <c r="S376" i="56"/>
  <c r="P347" i="56"/>
  <c r="S384" i="56"/>
  <c r="U384" i="56" s="1"/>
  <c r="G144" i="52" s="1"/>
  <c r="X347" i="56"/>
  <c r="S373" i="56"/>
  <c r="M347" i="56"/>
  <c r="P368" i="56"/>
  <c r="R368" i="56" s="1"/>
  <c r="F128" i="52" s="1"/>
  <c r="H285" i="56"/>
  <c r="P384" i="56"/>
  <c r="R384" i="56" s="1"/>
  <c r="F144" i="52" s="1"/>
  <c r="X285" i="56"/>
  <c r="P382" i="56"/>
  <c r="R382" i="56" s="1"/>
  <c r="F142" i="52" s="1"/>
  <c r="V285" i="56"/>
  <c r="P373" i="56"/>
  <c r="M285" i="56"/>
  <c r="P366" i="56"/>
  <c r="R366" i="56" s="1"/>
  <c r="F126" i="52" s="1"/>
  <c r="F285" i="56"/>
  <c r="D285" i="56"/>
  <c r="P364" i="56"/>
  <c r="Q365" i="56"/>
  <c r="W365" i="56" s="1"/>
  <c r="E285" i="56"/>
  <c r="E287" i="56" s="1"/>
  <c r="Y284" i="56"/>
  <c r="F223" i="56"/>
  <c r="F225" i="56" s="1"/>
  <c r="M366" i="56"/>
  <c r="O366" i="56" s="1"/>
  <c r="E126" i="52" s="1"/>
  <c r="N223" i="56"/>
  <c r="M374" i="56"/>
  <c r="M364" i="56"/>
  <c r="D223" i="56"/>
  <c r="X223" i="56"/>
  <c r="X225" i="56" s="1"/>
  <c r="M384" i="56"/>
  <c r="O384" i="56" s="1"/>
  <c r="E144" i="52" s="1"/>
  <c r="E223" i="56"/>
  <c r="E225" i="56" s="1"/>
  <c r="M365" i="56"/>
  <c r="I223" i="56"/>
  <c r="M369" i="56"/>
  <c r="M367" i="56"/>
  <c r="G223" i="56"/>
  <c r="L366" i="56"/>
  <c r="D126" i="52" s="1"/>
  <c r="G201" i="52"/>
  <c r="F201" i="52"/>
  <c r="R67" i="60" l="1"/>
  <c r="K404" i="56"/>
  <c r="K67" i="60"/>
  <c r="K69" i="60" s="1"/>
  <c r="P67" i="60"/>
  <c r="P69" i="60" s="1"/>
  <c r="F32" i="75"/>
  <c r="F16" i="75"/>
  <c r="C47" i="75"/>
  <c r="I400" i="56"/>
  <c r="K403" i="56"/>
  <c r="T97" i="60"/>
  <c r="I31" i="75"/>
  <c r="T88" i="60"/>
  <c r="T82" i="60"/>
  <c r="T95" i="60"/>
  <c r="S69" i="60"/>
  <c r="T81" i="60"/>
  <c r="W67" i="60"/>
  <c r="I405" i="56"/>
  <c r="J397" i="56"/>
  <c r="J409" i="56"/>
  <c r="K409" i="56"/>
  <c r="J403" i="56"/>
  <c r="H405" i="56"/>
  <c r="H408" i="56"/>
  <c r="J399" i="56"/>
  <c r="H413" i="56"/>
  <c r="I396" i="56"/>
  <c r="J412" i="56"/>
  <c r="J398" i="56"/>
  <c r="H410" i="56"/>
  <c r="H399" i="56"/>
  <c r="H396" i="56"/>
  <c r="J401" i="56"/>
  <c r="J396" i="56"/>
  <c r="H406" i="56"/>
  <c r="H404" i="56"/>
  <c r="X67" i="60"/>
  <c r="X69" i="60" s="1"/>
  <c r="I410" i="56"/>
  <c r="J404" i="56"/>
  <c r="J416" i="56"/>
  <c r="J411" i="56"/>
  <c r="H414" i="56"/>
  <c r="H415" i="56"/>
  <c r="H397" i="56"/>
  <c r="T94" i="60"/>
  <c r="T93" i="60"/>
  <c r="T100" i="60"/>
  <c r="T84" i="60"/>
  <c r="W69" i="60"/>
  <c r="M67" i="60"/>
  <c r="M69" i="60" s="1"/>
  <c r="T90" i="60"/>
  <c r="T89" i="60"/>
  <c r="T96" i="60"/>
  <c r="T80" i="60"/>
  <c r="T87" i="60"/>
  <c r="J413" i="56"/>
  <c r="J405" i="56"/>
  <c r="J414" i="56"/>
  <c r="J407" i="56"/>
  <c r="J410" i="56"/>
  <c r="H401" i="56"/>
  <c r="H402" i="56"/>
  <c r="H400" i="56"/>
  <c r="H407" i="56"/>
  <c r="H411" i="56"/>
  <c r="U67" i="60"/>
  <c r="U69" i="60" s="1"/>
  <c r="F67" i="60"/>
  <c r="F69" i="60" s="1"/>
  <c r="T91" i="60"/>
  <c r="H67" i="60"/>
  <c r="H69" i="60" s="1"/>
  <c r="T67" i="60"/>
  <c r="T69" i="60" s="1"/>
  <c r="T98" i="60"/>
  <c r="T86" i="60"/>
  <c r="T85" i="60"/>
  <c r="T92" i="60"/>
  <c r="T99" i="60"/>
  <c r="J408" i="56"/>
  <c r="J400" i="56"/>
  <c r="J415" i="56"/>
  <c r="J406" i="56"/>
  <c r="H398" i="56"/>
  <c r="H409" i="56"/>
  <c r="H416" i="56"/>
  <c r="H412" i="56"/>
  <c r="I401" i="56"/>
  <c r="I402" i="56"/>
  <c r="I399" i="56"/>
  <c r="I411" i="56"/>
  <c r="K406" i="56"/>
  <c r="K398" i="56"/>
  <c r="K405" i="56"/>
  <c r="K415" i="56"/>
  <c r="I27" i="75"/>
  <c r="I409" i="56"/>
  <c r="I398" i="56"/>
  <c r="I407" i="56"/>
  <c r="I412" i="56"/>
  <c r="I403" i="56"/>
  <c r="K400" i="56"/>
  <c r="K414" i="56"/>
  <c r="K397" i="56"/>
  <c r="K407" i="56"/>
  <c r="Y67" i="60"/>
  <c r="Y69" i="60" s="1"/>
  <c r="I413" i="56"/>
  <c r="I414" i="56"/>
  <c r="I416" i="56"/>
  <c r="I404" i="56"/>
  <c r="I397" i="56"/>
  <c r="K416" i="56"/>
  <c r="K402" i="56"/>
  <c r="K411" i="56"/>
  <c r="K399" i="56"/>
  <c r="T142" i="72"/>
  <c r="D132" i="72"/>
  <c r="J142" i="72" s="1"/>
  <c r="W368" i="56"/>
  <c r="K412" i="56"/>
  <c r="K410" i="56"/>
  <c r="K408" i="56"/>
  <c r="K413" i="56"/>
  <c r="K401" i="56"/>
  <c r="W373" i="56"/>
  <c r="V368" i="56"/>
  <c r="I406" i="56"/>
  <c r="I408" i="56"/>
  <c r="W377" i="56"/>
  <c r="H126" i="52"/>
  <c r="I126" i="52" s="1"/>
  <c r="V380" i="56"/>
  <c r="V384" i="56"/>
  <c r="X384" i="56" s="1"/>
  <c r="W376" i="56"/>
  <c r="T153" i="72"/>
  <c r="T162" i="72"/>
  <c r="V364" i="56"/>
  <c r="X364" i="56" s="1"/>
  <c r="T157" i="72"/>
  <c r="L365" i="56"/>
  <c r="D125" i="52" s="1"/>
  <c r="V365" i="56"/>
  <c r="X365" i="56" s="1"/>
  <c r="W379" i="56"/>
  <c r="T161" i="72"/>
  <c r="V366" i="56"/>
  <c r="X366" i="56" s="1"/>
  <c r="G143" i="72"/>
  <c r="K67" i="52" s="1"/>
  <c r="G162" i="72"/>
  <c r="K86" i="52" s="1"/>
  <c r="G146" i="72"/>
  <c r="K70" i="52" s="1"/>
  <c r="G153" i="72"/>
  <c r="K77" i="52" s="1"/>
  <c r="G156" i="72"/>
  <c r="K80" i="52" s="1"/>
  <c r="G159" i="72"/>
  <c r="K83" i="52" s="1"/>
  <c r="G158" i="72"/>
  <c r="K82" i="52" s="1"/>
  <c r="G142" i="72"/>
  <c r="K66" i="52" s="1"/>
  <c r="G149" i="72"/>
  <c r="K73" i="52" s="1"/>
  <c r="G152" i="72"/>
  <c r="K76" i="52" s="1"/>
  <c r="G155" i="72"/>
  <c r="K79" i="52" s="1"/>
  <c r="G154" i="72"/>
  <c r="K78" i="52" s="1"/>
  <c r="G161" i="72"/>
  <c r="K85" i="52" s="1"/>
  <c r="G145" i="72"/>
  <c r="K69" i="52" s="1"/>
  <c r="G148" i="72"/>
  <c r="K72" i="52" s="1"/>
  <c r="G151" i="72"/>
  <c r="K75" i="52" s="1"/>
  <c r="G150" i="72"/>
  <c r="K74" i="52" s="1"/>
  <c r="G157" i="72"/>
  <c r="K81" i="52" s="1"/>
  <c r="G160" i="72"/>
  <c r="K84" i="52" s="1"/>
  <c r="G144" i="72"/>
  <c r="K68" i="52" s="1"/>
  <c r="G147" i="72"/>
  <c r="K71" i="52" s="1"/>
  <c r="T159" i="72"/>
  <c r="T144" i="72"/>
  <c r="T148" i="72"/>
  <c r="T152" i="72"/>
  <c r="T158" i="72"/>
  <c r="T143" i="72"/>
  <c r="T147" i="72"/>
  <c r="T151" i="72"/>
  <c r="T155" i="72"/>
  <c r="T154" i="72"/>
  <c r="T146" i="72"/>
  <c r="T156" i="72"/>
  <c r="T160" i="72"/>
  <c r="T145" i="72"/>
  <c r="T149" i="72"/>
  <c r="D128" i="72"/>
  <c r="H142" i="72"/>
  <c r="L66" i="52" s="1"/>
  <c r="H145" i="72"/>
  <c r="L69" i="52" s="1"/>
  <c r="H161" i="72"/>
  <c r="L85" i="52" s="1"/>
  <c r="H153" i="72"/>
  <c r="L77" i="52" s="1"/>
  <c r="H149" i="72"/>
  <c r="L73" i="52" s="1"/>
  <c r="H157" i="72"/>
  <c r="L81" i="52" s="1"/>
  <c r="H148" i="72"/>
  <c r="L72" i="52" s="1"/>
  <c r="H151" i="72"/>
  <c r="L75" i="52" s="1"/>
  <c r="H158" i="72"/>
  <c r="L82" i="52" s="1"/>
  <c r="H160" i="72"/>
  <c r="L84" i="52" s="1"/>
  <c r="H144" i="72"/>
  <c r="L68" i="52" s="1"/>
  <c r="H147" i="72"/>
  <c r="L71" i="52" s="1"/>
  <c r="H154" i="72"/>
  <c r="L78" i="52" s="1"/>
  <c r="H156" i="72"/>
  <c r="L80" i="52" s="1"/>
  <c r="H159" i="72"/>
  <c r="L83" i="52" s="1"/>
  <c r="H143" i="72"/>
  <c r="L67" i="52" s="1"/>
  <c r="H150" i="72"/>
  <c r="L74" i="52" s="1"/>
  <c r="H152" i="72"/>
  <c r="L76" i="52" s="1"/>
  <c r="H155" i="72"/>
  <c r="L79" i="52" s="1"/>
  <c r="H162" i="72"/>
  <c r="L86" i="52" s="1"/>
  <c r="H146" i="72"/>
  <c r="L70" i="52" s="1"/>
  <c r="L91" i="68"/>
  <c r="Q385" i="56"/>
  <c r="Q389" i="56" s="1"/>
  <c r="I69" i="60"/>
  <c r="T385" i="56"/>
  <c r="T389" i="56" s="1"/>
  <c r="N385" i="56"/>
  <c r="N389" i="56" s="1"/>
  <c r="L364" i="56"/>
  <c r="D124" i="52" s="1"/>
  <c r="U80" i="60"/>
  <c r="U87" i="60"/>
  <c r="U91" i="60"/>
  <c r="U95" i="60"/>
  <c r="U99" i="60"/>
  <c r="U83" i="60"/>
  <c r="U94" i="60"/>
  <c r="U97" i="60"/>
  <c r="U81" i="60"/>
  <c r="U88" i="60"/>
  <c r="U89" i="60"/>
  <c r="U82" i="60"/>
  <c r="U85" i="60"/>
  <c r="U90" i="60"/>
  <c r="U93" i="60"/>
  <c r="U100" i="60"/>
  <c r="U84" i="60"/>
  <c r="U86" i="60"/>
  <c r="U96" i="60"/>
  <c r="U98" i="60"/>
  <c r="U92" i="60"/>
  <c r="S81" i="60"/>
  <c r="S85" i="60"/>
  <c r="S89" i="60"/>
  <c r="S93" i="60"/>
  <c r="S97" i="60"/>
  <c r="S83" i="60"/>
  <c r="S87" i="60"/>
  <c r="S91" i="60"/>
  <c r="S95" i="60"/>
  <c r="S99" i="60"/>
  <c r="S82" i="60"/>
  <c r="S86" i="60"/>
  <c r="S90" i="60"/>
  <c r="S94" i="60"/>
  <c r="S98" i="60"/>
  <c r="S80" i="60"/>
  <c r="S96" i="60"/>
  <c r="S84" i="60"/>
  <c r="S100" i="60"/>
  <c r="S88" i="60"/>
  <c r="S92" i="60"/>
  <c r="G397" i="56"/>
  <c r="G398" i="56"/>
  <c r="G403" i="56"/>
  <c r="G408" i="56"/>
  <c r="G414" i="56"/>
  <c r="G399" i="56"/>
  <c r="G404" i="56"/>
  <c r="G410" i="56"/>
  <c r="G415" i="56"/>
  <c r="G400" i="56"/>
  <c r="G411" i="56"/>
  <c r="G402" i="56"/>
  <c r="G412" i="56"/>
  <c r="G416" i="56"/>
  <c r="G396" i="56"/>
  <c r="G407" i="56"/>
  <c r="G406" i="56"/>
  <c r="G409" i="56"/>
  <c r="G405" i="56"/>
  <c r="G401" i="56"/>
  <c r="G413" i="56"/>
  <c r="K80" i="60" a="1"/>
  <c r="L80" i="60"/>
  <c r="L82" i="60"/>
  <c r="L90" i="60"/>
  <c r="L98" i="60"/>
  <c r="L83" i="60"/>
  <c r="L91" i="60"/>
  <c r="L99" i="60"/>
  <c r="L95" i="60"/>
  <c r="L86" i="60"/>
  <c r="L87" i="60"/>
  <c r="L94" i="60"/>
  <c r="L97" i="60"/>
  <c r="L81" i="60"/>
  <c r="L88" i="60"/>
  <c r="L93" i="60"/>
  <c r="L100" i="60"/>
  <c r="L84" i="60"/>
  <c r="L89" i="60"/>
  <c r="L96" i="60"/>
  <c r="L85" i="60"/>
  <c r="L92" i="60"/>
  <c r="L67" i="60"/>
  <c r="L69" i="60" s="1"/>
  <c r="G67" i="60"/>
  <c r="G69" i="60" s="1"/>
  <c r="R83" i="54"/>
  <c r="V83" i="60"/>
  <c r="V87" i="60"/>
  <c r="V91" i="60"/>
  <c r="V95" i="60"/>
  <c r="V99" i="60"/>
  <c r="V81" i="60"/>
  <c r="V85" i="60"/>
  <c r="V89" i="60"/>
  <c r="V93" i="60"/>
  <c r="V97" i="60"/>
  <c r="V80" i="60"/>
  <c r="V84" i="60"/>
  <c r="V88" i="60"/>
  <c r="V92" i="60"/>
  <c r="V96" i="60"/>
  <c r="V100" i="60"/>
  <c r="V82" i="60"/>
  <c r="V98" i="60"/>
  <c r="V86" i="60"/>
  <c r="V90" i="60"/>
  <c r="V94" i="60"/>
  <c r="Z84" i="54"/>
  <c r="AD16" i="28"/>
  <c r="L384" i="56"/>
  <c r="L16" i="28"/>
  <c r="Y16" i="28"/>
  <c r="AA16" i="28"/>
  <c r="AC16" i="28"/>
  <c r="O16" i="28"/>
  <c r="R16" i="28"/>
  <c r="AB16" i="28"/>
  <c r="P16" i="28"/>
  <c r="AE16" i="28"/>
  <c r="S16" i="28"/>
  <c r="U16" i="28"/>
  <c r="M16" i="28"/>
  <c r="AH16" i="28"/>
  <c r="V16" i="28"/>
  <c r="AF16" i="28"/>
  <c r="T16" i="28"/>
  <c r="AI16" i="28"/>
  <c r="AG16" i="28"/>
  <c r="J16" i="28"/>
  <c r="W16" i="28"/>
  <c r="K16" i="28"/>
  <c r="Z16" i="28"/>
  <c r="N16" i="28"/>
  <c r="X16" i="28"/>
  <c r="R69" i="60"/>
  <c r="P223" i="56"/>
  <c r="P225" i="56" s="1"/>
  <c r="X159" i="56"/>
  <c r="X161" i="56" s="1"/>
  <c r="M375" i="56"/>
  <c r="O375" i="56" s="1"/>
  <c r="E135" i="52" s="1"/>
  <c r="H374" i="56"/>
  <c r="H369" i="56"/>
  <c r="H367" i="56"/>
  <c r="H376" i="56"/>
  <c r="H379" i="56"/>
  <c r="T158" i="56"/>
  <c r="K380" i="56" s="1"/>
  <c r="H366" i="56"/>
  <c r="H364" i="56"/>
  <c r="H377" i="56"/>
  <c r="H380" i="56"/>
  <c r="H378" i="56"/>
  <c r="G364" i="56" a="1"/>
  <c r="G379" i="56" s="1"/>
  <c r="H373" i="56"/>
  <c r="H375" i="56"/>
  <c r="H382" i="56"/>
  <c r="H368" i="56"/>
  <c r="H383" i="56"/>
  <c r="H365" i="56"/>
  <c r="Q80" i="60" a="1"/>
  <c r="Q91" i="60" s="1"/>
  <c r="H381" i="56"/>
  <c r="H384" i="56"/>
  <c r="H370" i="56"/>
  <c r="H371" i="56"/>
  <c r="Y283" i="56"/>
  <c r="P80" i="60" a="1"/>
  <c r="C17" i="28"/>
  <c r="D38" i="75" s="1"/>
  <c r="M154" i="56"/>
  <c r="O158" i="56"/>
  <c r="K375" i="56" s="1"/>
  <c r="W375" i="56" s="1"/>
  <c r="AJ15" i="28"/>
  <c r="O80" i="60" a="1"/>
  <c r="P159" i="56"/>
  <c r="I158" i="56"/>
  <c r="I159" i="56" s="1"/>
  <c r="I161" i="56" s="1"/>
  <c r="Q143" i="72"/>
  <c r="Q142" i="72"/>
  <c r="Q148" i="72"/>
  <c r="Q153" i="72"/>
  <c r="Q158" i="72"/>
  <c r="Q145" i="72"/>
  <c r="Q152" i="72"/>
  <c r="Q160" i="72"/>
  <c r="Q146" i="72"/>
  <c r="Q156" i="72"/>
  <c r="Q149" i="72"/>
  <c r="Q157" i="72"/>
  <c r="Q144" i="72"/>
  <c r="Q162" i="72"/>
  <c r="Q150" i="72"/>
  <c r="Q154" i="72"/>
  <c r="Q161" i="72"/>
  <c r="Q147" i="72"/>
  <c r="Q159" i="72"/>
  <c r="Q155" i="72"/>
  <c r="Q151" i="72"/>
  <c r="N67" i="60"/>
  <c r="N69" i="60" s="1"/>
  <c r="V67" i="60"/>
  <c r="V69" i="60" s="1"/>
  <c r="O67" i="60"/>
  <c r="O69" i="60" s="1"/>
  <c r="Q69" i="60"/>
  <c r="D349" i="56"/>
  <c r="D287" i="56"/>
  <c r="Q154" i="56"/>
  <c r="P154" i="56"/>
  <c r="K157" i="56"/>
  <c r="M157" i="56"/>
  <c r="S154" i="56"/>
  <c r="U157" i="56"/>
  <c r="M379" i="56"/>
  <c r="O379" i="56" s="1"/>
  <c r="E139" i="52" s="1"/>
  <c r="L223" i="56"/>
  <c r="L225" i="56" s="1"/>
  <c r="J376" i="56"/>
  <c r="Y221" i="56"/>
  <c r="Y228" i="56"/>
  <c r="F287" i="56"/>
  <c r="F349" i="56"/>
  <c r="E349" i="56"/>
  <c r="M373" i="56"/>
  <c r="O373" i="56" s="1"/>
  <c r="E133" i="52" s="1"/>
  <c r="H223" i="56"/>
  <c r="H225" i="56" s="1"/>
  <c r="P374" i="56"/>
  <c r="R374" i="56" s="1"/>
  <c r="F134" i="52" s="1"/>
  <c r="J159" i="56"/>
  <c r="J161" i="56" s="1"/>
  <c r="J370" i="56"/>
  <c r="X349" i="56"/>
  <c r="L349" i="56"/>
  <c r="J349" i="56"/>
  <c r="I349" i="56"/>
  <c r="T349" i="56"/>
  <c r="U223" i="56"/>
  <c r="U225" i="56" s="1"/>
  <c r="U376" i="56"/>
  <c r="G136" i="52" s="1"/>
  <c r="H159" i="56"/>
  <c r="H161" i="56" s="1"/>
  <c r="X287" i="56"/>
  <c r="T287" i="56"/>
  <c r="V287" i="56"/>
  <c r="H287" i="56"/>
  <c r="U373" i="56"/>
  <c r="G133" i="52" s="1"/>
  <c r="U368" i="56"/>
  <c r="G128" i="52" s="1"/>
  <c r="R377" i="56"/>
  <c r="F137" i="52" s="1"/>
  <c r="E98" i="56"/>
  <c r="X98" i="56"/>
  <c r="F98" i="56"/>
  <c r="R96" i="56"/>
  <c r="R98" i="56" s="1"/>
  <c r="I96" i="56"/>
  <c r="I98" i="56" s="1"/>
  <c r="T98" i="56"/>
  <c r="L368" i="56"/>
  <c r="D128" i="52" s="1"/>
  <c r="H128" i="52" s="1"/>
  <c r="I128" i="52" s="1"/>
  <c r="O376" i="56"/>
  <c r="E136" i="52" s="1"/>
  <c r="R373" i="56"/>
  <c r="F133" i="52" s="1"/>
  <c r="O369" i="56"/>
  <c r="E129" i="52" s="1"/>
  <c r="J287" i="56"/>
  <c r="M370" i="56"/>
  <c r="O370" i="56" s="1"/>
  <c r="E130" i="52" s="1"/>
  <c r="J379" i="56"/>
  <c r="W159" i="56"/>
  <c r="W161" i="56" s="1"/>
  <c r="S379" i="56"/>
  <c r="U379" i="56" s="1"/>
  <c r="G139" i="52" s="1"/>
  <c r="Y345" i="56"/>
  <c r="O380" i="56"/>
  <c r="E140" i="52" s="1"/>
  <c r="L159" i="56"/>
  <c r="R347" i="56"/>
  <c r="M383" i="56"/>
  <c r="O383" i="56" s="1"/>
  <c r="E143" i="52" s="1"/>
  <c r="I285" i="56"/>
  <c r="J374" i="56"/>
  <c r="P372" i="56"/>
  <c r="R372" i="56" s="1"/>
  <c r="F132" i="52" s="1"/>
  <c r="J377" i="56"/>
  <c r="G159" i="56"/>
  <c r="G161" i="56" s="1"/>
  <c r="S377" i="56"/>
  <c r="U377" i="56" s="1"/>
  <c r="G137" i="52" s="1"/>
  <c r="R379" i="56"/>
  <c r="F139" i="52" s="1"/>
  <c r="M382" i="56"/>
  <c r="O382" i="56" s="1"/>
  <c r="E142" i="52" s="1"/>
  <c r="G347" i="56"/>
  <c r="R223" i="56"/>
  <c r="R225" i="56" s="1"/>
  <c r="W285" i="56"/>
  <c r="O285" i="56"/>
  <c r="W347" i="56"/>
  <c r="J378" i="56"/>
  <c r="O347" i="56"/>
  <c r="J382" i="56"/>
  <c r="S381" i="56"/>
  <c r="U381" i="56" s="1"/>
  <c r="G141" i="52" s="1"/>
  <c r="P371" i="56"/>
  <c r="R371" i="56" s="1"/>
  <c r="F131" i="52" s="1"/>
  <c r="K223" i="56"/>
  <c r="K225" i="56" s="1"/>
  <c r="P378" i="56"/>
  <c r="R378" i="56" s="1"/>
  <c r="F138" i="52" s="1"/>
  <c r="P367" i="56"/>
  <c r="R367" i="56" s="1"/>
  <c r="F127" i="52" s="1"/>
  <c r="K347" i="56"/>
  <c r="Q159" i="56"/>
  <c r="P369" i="56"/>
  <c r="R369" i="56" s="1"/>
  <c r="F129" i="52" s="1"/>
  <c r="P383" i="56"/>
  <c r="R383" i="56" s="1"/>
  <c r="F143" i="52" s="1"/>
  <c r="P375" i="56"/>
  <c r="R375" i="56" s="1"/>
  <c r="F135" i="52" s="1"/>
  <c r="W223" i="56"/>
  <c r="W225" i="56" s="1"/>
  <c r="M378" i="56"/>
  <c r="O378" i="56" s="1"/>
  <c r="E138" i="52" s="1"/>
  <c r="X132" i="72"/>
  <c r="J162" i="72" s="1"/>
  <c r="X115" i="72"/>
  <c r="H349" i="56"/>
  <c r="S347" i="56"/>
  <c r="K285" i="56"/>
  <c r="S159" i="56"/>
  <c r="J372" i="56"/>
  <c r="S378" i="56"/>
  <c r="U378" i="56" s="1"/>
  <c r="G138" i="52" s="1"/>
  <c r="F183" i="52"/>
  <c r="S371" i="56"/>
  <c r="U371" i="56" s="1"/>
  <c r="G131" i="52" s="1"/>
  <c r="N287" i="56"/>
  <c r="N349" i="56"/>
  <c r="T225" i="56"/>
  <c r="P287" i="56"/>
  <c r="S367" i="56"/>
  <c r="U347" i="56"/>
  <c r="J383" i="56"/>
  <c r="M225" i="56"/>
  <c r="Q287" i="56"/>
  <c r="I225" i="56"/>
  <c r="J223" i="56"/>
  <c r="J225" i="56" s="1"/>
  <c r="V159" i="56"/>
  <c r="V161" i="56" s="1"/>
  <c r="V223" i="56"/>
  <c r="V225" i="56" s="1"/>
  <c r="J367" i="56"/>
  <c r="M349" i="56"/>
  <c r="M287" i="56"/>
  <c r="L285" i="56"/>
  <c r="S287" i="56"/>
  <c r="S375" i="56"/>
  <c r="U375" i="56" s="1"/>
  <c r="G135" i="52" s="1"/>
  <c r="O225" i="56"/>
  <c r="P349" i="56"/>
  <c r="R285" i="56"/>
  <c r="G285" i="56"/>
  <c r="N159" i="56"/>
  <c r="N161" i="56" s="1"/>
  <c r="Q347" i="56"/>
  <c r="U287" i="56"/>
  <c r="M371" i="56"/>
  <c r="O371" i="56" s="1"/>
  <c r="E131" i="52" s="1"/>
  <c r="N225" i="56"/>
  <c r="R159" i="56"/>
  <c r="R161" i="56" s="1"/>
  <c r="G225" i="56"/>
  <c r="S225" i="56"/>
  <c r="S382" i="56"/>
  <c r="U382" i="56" s="1"/>
  <c r="G142" i="52" s="1"/>
  <c r="S383" i="56"/>
  <c r="U383" i="56" s="1"/>
  <c r="G143" i="52" s="1"/>
  <c r="J375" i="56"/>
  <c r="Y94" i="56"/>
  <c r="V347" i="56"/>
  <c r="V96" i="56"/>
  <c r="S96" i="56"/>
  <c r="Q96" i="56"/>
  <c r="K96" i="56"/>
  <c r="M96" i="56"/>
  <c r="O96" i="56"/>
  <c r="U96" i="56"/>
  <c r="G96" i="56"/>
  <c r="N96" i="56"/>
  <c r="W96" i="56"/>
  <c r="D98" i="56"/>
  <c r="H96" i="56"/>
  <c r="P96" i="56"/>
  <c r="J96" i="56"/>
  <c r="L96" i="56"/>
  <c r="X131" i="72"/>
  <c r="D131" i="72"/>
  <c r="D67" i="52"/>
  <c r="U364" i="56"/>
  <c r="G124" i="52" s="1"/>
  <c r="R364" i="56"/>
  <c r="F124" i="52" s="1"/>
  <c r="R365" i="56"/>
  <c r="F125" i="52" s="1"/>
  <c r="O367" i="56"/>
  <c r="E127" i="52" s="1"/>
  <c r="O374" i="56"/>
  <c r="E134" i="52" s="1"/>
  <c r="O381" i="56"/>
  <c r="E141" i="52" s="1"/>
  <c r="O364" i="56"/>
  <c r="E124" i="52" s="1"/>
  <c r="O372" i="56"/>
  <c r="E132" i="52" s="1"/>
  <c r="D225" i="56"/>
  <c r="O365" i="56"/>
  <c r="E125" i="52" s="1"/>
  <c r="G182" i="52"/>
  <c r="F182" i="52"/>
  <c r="C50" i="75" l="1"/>
  <c r="T103" i="60"/>
  <c r="T104" i="60" s="1"/>
  <c r="L396" i="56"/>
  <c r="L397" i="56"/>
  <c r="H417" i="56"/>
  <c r="J417" i="56"/>
  <c r="T101" i="60"/>
  <c r="L398" i="56"/>
  <c r="U103" i="60"/>
  <c r="I417" i="56"/>
  <c r="K417" i="56"/>
  <c r="X368" i="56"/>
  <c r="V367" i="56"/>
  <c r="X367" i="56" s="1"/>
  <c r="H125" i="52"/>
  <c r="I125" i="52" s="1"/>
  <c r="G417" i="56"/>
  <c r="L378" i="56"/>
  <c r="D138" i="52" s="1"/>
  <c r="H138" i="52" s="1"/>
  <c r="V378" i="56"/>
  <c r="X378" i="56" s="1"/>
  <c r="L379" i="56"/>
  <c r="D139" i="52" s="1"/>
  <c r="H139" i="52" s="1"/>
  <c r="I139" i="52" s="1"/>
  <c r="V379" i="56"/>
  <c r="X379" i="56" s="1"/>
  <c r="L370" i="56"/>
  <c r="D130" i="52" s="1"/>
  <c r="H130" i="52" s="1"/>
  <c r="V370" i="56"/>
  <c r="X370" i="56" s="1"/>
  <c r="V369" i="56"/>
  <c r="L383" i="56"/>
  <c r="D143" i="52" s="1"/>
  <c r="H143" i="52" s="1"/>
  <c r="V383" i="56"/>
  <c r="X383" i="56" s="1"/>
  <c r="L374" i="56"/>
  <c r="D134" i="52" s="1"/>
  <c r="H134" i="52" s="1"/>
  <c r="V374" i="56"/>
  <c r="X374" i="56" s="1"/>
  <c r="L376" i="56"/>
  <c r="D136" i="52" s="1"/>
  <c r="H136" i="52" s="1"/>
  <c r="I136" i="52" s="1"/>
  <c r="V376" i="56"/>
  <c r="X376" i="56" s="1"/>
  <c r="V375" i="56"/>
  <c r="X375" i="56" s="1"/>
  <c r="E145" i="52"/>
  <c r="L372" i="56"/>
  <c r="D132" i="52" s="1"/>
  <c r="H132" i="52" s="1"/>
  <c r="I132" i="52" s="1"/>
  <c r="V372" i="56"/>
  <c r="X372" i="56" s="1"/>
  <c r="L382" i="56"/>
  <c r="D142" i="52" s="1"/>
  <c r="H142" i="52" s="1"/>
  <c r="V382" i="56"/>
  <c r="X382" i="56" s="1"/>
  <c r="L377" i="56"/>
  <c r="D137" i="52" s="1"/>
  <c r="H137" i="52" s="1"/>
  <c r="I137" i="52" s="1"/>
  <c r="V377" i="56"/>
  <c r="X377" i="56" s="1"/>
  <c r="D144" i="52"/>
  <c r="H144" i="52" s="1"/>
  <c r="I144" i="52" s="1"/>
  <c r="N115" i="52" s="1"/>
  <c r="L380" i="56"/>
  <c r="D140" i="52" s="1"/>
  <c r="H140" i="52" s="1"/>
  <c r="I140" i="52" s="1"/>
  <c r="W380" i="56"/>
  <c r="X380" i="56" s="1"/>
  <c r="F145" i="52"/>
  <c r="K87" i="52"/>
  <c r="L87" i="52"/>
  <c r="S385" i="56"/>
  <c r="S389" i="56" s="1"/>
  <c r="H389" i="56"/>
  <c r="R385" i="56"/>
  <c r="P385" i="56"/>
  <c r="P389" i="56" s="1"/>
  <c r="M385" i="56"/>
  <c r="M389" i="56" s="1"/>
  <c r="O385" i="56"/>
  <c r="V103" i="60"/>
  <c r="K242" i="52" s="1"/>
  <c r="K249" i="52" s="1"/>
  <c r="S101" i="60"/>
  <c r="V101" i="60"/>
  <c r="K80" i="60"/>
  <c r="M80" i="60" s="1"/>
  <c r="K87" i="60"/>
  <c r="M87" i="60" s="1"/>
  <c r="K91" i="60"/>
  <c r="M91" i="60" s="1"/>
  <c r="K99" i="60"/>
  <c r="M99" i="60" s="1"/>
  <c r="K95" i="60"/>
  <c r="M95" i="60" s="1"/>
  <c r="K83" i="60"/>
  <c r="K90" i="60"/>
  <c r="M90" i="60" s="1"/>
  <c r="K93" i="60"/>
  <c r="M93" i="60" s="1"/>
  <c r="K100" i="60"/>
  <c r="M100" i="60" s="1"/>
  <c r="M102" i="60" s="1"/>
  <c r="M103" i="60" s="1"/>
  <c r="K84" i="60"/>
  <c r="M84" i="60" s="1"/>
  <c r="K86" i="60"/>
  <c r="M86" i="60" s="1"/>
  <c r="K89" i="60"/>
  <c r="M89" i="60" s="1"/>
  <c r="K96" i="60"/>
  <c r="M96" i="60" s="1"/>
  <c r="K98" i="60"/>
  <c r="M98" i="60" s="1"/>
  <c r="K82" i="60"/>
  <c r="M82" i="60" s="1"/>
  <c r="K85" i="60"/>
  <c r="M85" i="60" s="1"/>
  <c r="K92" i="60"/>
  <c r="M92" i="60" s="1"/>
  <c r="K94" i="60"/>
  <c r="M94" i="60" s="1"/>
  <c r="K97" i="60"/>
  <c r="M97" i="60" s="1"/>
  <c r="K81" i="60"/>
  <c r="M81" i="60" s="1"/>
  <c r="K88" i="60"/>
  <c r="M88" i="60" s="1"/>
  <c r="S103" i="60"/>
  <c r="S104" i="60" s="1"/>
  <c r="U101" i="60"/>
  <c r="T159" i="56"/>
  <c r="T161" i="56" s="1"/>
  <c r="Q87" i="60"/>
  <c r="Q84" i="60"/>
  <c r="I379" i="56"/>
  <c r="Q82" i="60"/>
  <c r="Q81" i="60"/>
  <c r="Q98" i="60"/>
  <c r="Q93" i="60"/>
  <c r="Q97" i="60"/>
  <c r="Q99" i="60"/>
  <c r="Q92" i="60"/>
  <c r="Q89" i="60"/>
  <c r="Q90" i="60"/>
  <c r="Q94" i="60"/>
  <c r="Q83" i="60"/>
  <c r="Q85" i="60"/>
  <c r="Q86" i="60"/>
  <c r="Q88" i="60"/>
  <c r="Q95" i="60"/>
  <c r="Q80" i="60"/>
  <c r="S161" i="56"/>
  <c r="Q161" i="56"/>
  <c r="G383" i="56"/>
  <c r="I383" i="56" s="1"/>
  <c r="D114" i="52" s="1"/>
  <c r="F114" i="52" s="1"/>
  <c r="G371" i="56"/>
  <c r="I371" i="56" s="1"/>
  <c r="D102" i="52" s="1"/>
  <c r="F102" i="52" s="1"/>
  <c r="G378" i="56"/>
  <c r="I378" i="56" s="1"/>
  <c r="G368" i="56"/>
  <c r="I368" i="56" s="1"/>
  <c r="G364" i="56"/>
  <c r="G370" i="56"/>
  <c r="I370" i="56" s="1"/>
  <c r="G376" i="56"/>
  <c r="I376" i="56" s="1"/>
  <c r="G381" i="56"/>
  <c r="G369" i="56"/>
  <c r="I369" i="56" s="1"/>
  <c r="G382" i="56"/>
  <c r="I382" i="56" s="1"/>
  <c r="G367" i="56"/>
  <c r="I367" i="56" s="1"/>
  <c r="G374" i="56"/>
  <c r="I374" i="56" s="1"/>
  <c r="G380" i="56"/>
  <c r="G366" i="56"/>
  <c r="I366" i="56" s="1"/>
  <c r="G373" i="56"/>
  <c r="I373" i="56" s="1"/>
  <c r="O159" i="56"/>
  <c r="O161" i="56" s="1"/>
  <c r="G372" i="56"/>
  <c r="I372" i="56" s="1"/>
  <c r="G377" i="56"/>
  <c r="I377" i="56" s="1"/>
  <c r="G365" i="56"/>
  <c r="I365" i="56" s="1"/>
  <c r="G375" i="56"/>
  <c r="I375" i="56" s="1"/>
  <c r="G384" i="56"/>
  <c r="I384" i="56" s="1"/>
  <c r="Y157" i="56"/>
  <c r="K369" i="56"/>
  <c r="P161" i="56"/>
  <c r="Y347" i="56"/>
  <c r="Q96" i="60"/>
  <c r="Q100" i="60"/>
  <c r="L375" i="56"/>
  <c r="D135" i="52" s="1"/>
  <c r="H135" i="52" s="1"/>
  <c r="I135" i="52" s="1"/>
  <c r="P80" i="60"/>
  <c r="P91" i="60"/>
  <c r="P83" i="60"/>
  <c r="P87" i="60"/>
  <c r="P99" i="60"/>
  <c r="P95" i="60"/>
  <c r="P90" i="60"/>
  <c r="P93" i="60"/>
  <c r="P100" i="60"/>
  <c r="P84" i="60"/>
  <c r="P86" i="60"/>
  <c r="P89" i="60"/>
  <c r="P96" i="60"/>
  <c r="P98" i="60"/>
  <c r="P82" i="60"/>
  <c r="P85" i="60"/>
  <c r="P92" i="60"/>
  <c r="P94" i="60"/>
  <c r="P97" i="60"/>
  <c r="P81" i="60"/>
  <c r="P88" i="60"/>
  <c r="Y158" i="56"/>
  <c r="O81" i="60"/>
  <c r="O80" i="60"/>
  <c r="O86" i="60"/>
  <c r="O91" i="60"/>
  <c r="O96" i="60"/>
  <c r="O87" i="60"/>
  <c r="O94" i="60"/>
  <c r="O100" i="60"/>
  <c r="O83" i="60"/>
  <c r="O92" i="60"/>
  <c r="O90" i="60"/>
  <c r="O82" i="60"/>
  <c r="O95" i="60"/>
  <c r="O98" i="60"/>
  <c r="O99" i="60"/>
  <c r="O84" i="60"/>
  <c r="O88" i="60"/>
  <c r="O85" i="60"/>
  <c r="O97" i="60"/>
  <c r="O93" i="60"/>
  <c r="O89" i="60"/>
  <c r="Y353" i="56"/>
  <c r="Y285" i="56"/>
  <c r="Y290" i="56"/>
  <c r="L409" i="56"/>
  <c r="L406" i="56"/>
  <c r="L402" i="56"/>
  <c r="L401" i="56"/>
  <c r="L403" i="56"/>
  <c r="L410" i="56"/>
  <c r="L399" i="56"/>
  <c r="J373" i="56"/>
  <c r="M159" i="56"/>
  <c r="M161" i="56" s="1"/>
  <c r="L405" i="56"/>
  <c r="J371" i="56"/>
  <c r="K159" i="56"/>
  <c r="K161" i="56" s="1"/>
  <c r="Y223" i="56"/>
  <c r="U159" i="56"/>
  <c r="U161" i="56" s="1"/>
  <c r="J381" i="56"/>
  <c r="L408" i="56"/>
  <c r="L413" i="56"/>
  <c r="L414" i="56"/>
  <c r="L400" i="56"/>
  <c r="L412" i="56"/>
  <c r="L416" i="56"/>
  <c r="L404" i="56"/>
  <c r="L411" i="56"/>
  <c r="L415" i="56"/>
  <c r="L407" i="56"/>
  <c r="G418" i="56"/>
  <c r="L101" i="60"/>
  <c r="S349" i="56"/>
  <c r="O349" i="56"/>
  <c r="Q349" i="56"/>
  <c r="U349" i="56"/>
  <c r="R349" i="56"/>
  <c r="K349" i="56"/>
  <c r="W349" i="56"/>
  <c r="G349" i="56"/>
  <c r="V349" i="56"/>
  <c r="R287" i="56"/>
  <c r="W287" i="56"/>
  <c r="L287" i="56"/>
  <c r="O287" i="56"/>
  <c r="I287" i="56"/>
  <c r="G287" i="56"/>
  <c r="K287" i="56"/>
  <c r="L161" i="56"/>
  <c r="M99" i="52"/>
  <c r="P98" i="56"/>
  <c r="W98" i="56"/>
  <c r="G98" i="56"/>
  <c r="M98" i="56"/>
  <c r="Q98" i="56"/>
  <c r="N98" i="56"/>
  <c r="U98" i="56"/>
  <c r="J98" i="56"/>
  <c r="O98" i="56"/>
  <c r="K98" i="56"/>
  <c r="V98" i="56"/>
  <c r="L98" i="56"/>
  <c r="H98" i="56"/>
  <c r="S98" i="56"/>
  <c r="AJ16" i="28"/>
  <c r="AJ17" i="28" s="1"/>
  <c r="L367" i="56"/>
  <c r="D127" i="52" s="1"/>
  <c r="U367" i="56"/>
  <c r="Y96" i="56"/>
  <c r="I162" i="72"/>
  <c r="X133" i="72"/>
  <c r="I142" i="72"/>
  <c r="D133" i="72"/>
  <c r="M97" i="52"/>
  <c r="F181" i="52"/>
  <c r="G181" i="52"/>
  <c r="U104" i="60" l="1"/>
  <c r="K241" i="52"/>
  <c r="K250" i="52" s="1"/>
  <c r="L418" i="56"/>
  <c r="L419" i="56" s="1"/>
  <c r="M111" i="52"/>
  <c r="L88" i="52"/>
  <c r="M103" i="52"/>
  <c r="M96" i="52"/>
  <c r="M110" i="52"/>
  <c r="I130" i="52"/>
  <c r="N101" i="52" s="1"/>
  <c r="M101" i="52"/>
  <c r="I143" i="52"/>
  <c r="N114" i="52" s="1"/>
  <c r="M114" i="52"/>
  <c r="I138" i="52"/>
  <c r="N109" i="52" s="1"/>
  <c r="M109" i="52"/>
  <c r="M107" i="52"/>
  <c r="M108" i="52"/>
  <c r="J144" i="52"/>
  <c r="O115" i="52" s="1"/>
  <c r="L417" i="56"/>
  <c r="I142" i="52"/>
  <c r="N113" i="52" s="1"/>
  <c r="M113" i="52"/>
  <c r="I134" i="52"/>
  <c r="N105" i="52" s="1"/>
  <c r="M105" i="52"/>
  <c r="D115" i="52"/>
  <c r="F115" i="52" s="1"/>
  <c r="D103" i="52"/>
  <c r="F103" i="52" s="1"/>
  <c r="D100" i="52"/>
  <c r="F100" i="52" s="1"/>
  <c r="D108" i="52"/>
  <c r="F108" i="52" s="1"/>
  <c r="D97" i="52"/>
  <c r="F97" i="52" s="1"/>
  <c r="D113" i="52"/>
  <c r="F113" i="52" s="1"/>
  <c r="D101" i="52"/>
  <c r="F101" i="52" s="1"/>
  <c r="D110" i="52"/>
  <c r="F110" i="52" s="1"/>
  <c r="L373" i="56"/>
  <c r="D133" i="52" s="1"/>
  <c r="H133" i="52" s="1"/>
  <c r="I133" i="52" s="1"/>
  <c r="V373" i="56"/>
  <c r="X373" i="56" s="1"/>
  <c r="D106" i="52"/>
  <c r="F106" i="52" s="1"/>
  <c r="D105" i="52"/>
  <c r="F105" i="52" s="1"/>
  <c r="D99" i="52"/>
  <c r="F99" i="52" s="1"/>
  <c r="U385" i="56"/>
  <c r="U389" i="56" s="1"/>
  <c r="G127" i="52"/>
  <c r="G145" i="52" s="1"/>
  <c r="L381" i="56"/>
  <c r="D141" i="52" s="1"/>
  <c r="H141" i="52" s="1"/>
  <c r="I141" i="52" s="1"/>
  <c r="V381" i="56"/>
  <c r="X381" i="56" s="1"/>
  <c r="L371" i="56"/>
  <c r="D131" i="52" s="1"/>
  <c r="H131" i="52" s="1"/>
  <c r="I131" i="52" s="1"/>
  <c r="V371" i="56"/>
  <c r="X371" i="56" s="1"/>
  <c r="K385" i="56"/>
  <c r="K389" i="56" s="1"/>
  <c r="W369" i="56"/>
  <c r="X369" i="56" s="1"/>
  <c r="D96" i="52"/>
  <c r="F96" i="52" s="1"/>
  <c r="D104" i="52"/>
  <c r="F104" i="52" s="1"/>
  <c r="D98" i="52"/>
  <c r="F98" i="52" s="1"/>
  <c r="D107" i="52"/>
  <c r="F107" i="52" s="1"/>
  <c r="D109" i="52"/>
  <c r="F109" i="52" s="1"/>
  <c r="M115" i="52"/>
  <c r="I364" i="56"/>
  <c r="D95" i="52" s="1"/>
  <c r="F95" i="52" s="1"/>
  <c r="G389" i="56"/>
  <c r="J385" i="56"/>
  <c r="J389" i="56" s="1"/>
  <c r="V104" i="60"/>
  <c r="R389" i="56"/>
  <c r="I381" i="56"/>
  <c r="J102" i="52"/>
  <c r="J114" i="52"/>
  <c r="Q101" i="60"/>
  <c r="F241" i="52" s="1"/>
  <c r="I380" i="56"/>
  <c r="D111" i="52" s="1"/>
  <c r="F111" i="52" s="1"/>
  <c r="L369" i="56"/>
  <c r="J138" i="52"/>
  <c r="O109" i="52" s="1"/>
  <c r="J134" i="52"/>
  <c r="O105" i="52" s="1"/>
  <c r="N99" i="52"/>
  <c r="J128" i="52"/>
  <c r="O99" i="52" s="1"/>
  <c r="O101" i="60"/>
  <c r="J142" i="52"/>
  <c r="O113" i="52" s="1"/>
  <c r="J126" i="52"/>
  <c r="O97" i="52" s="1"/>
  <c r="N97" i="52"/>
  <c r="J140" i="52"/>
  <c r="O111" i="52" s="1"/>
  <c r="N111" i="52"/>
  <c r="N107" i="52"/>
  <c r="J136" i="52"/>
  <c r="O107" i="52" s="1"/>
  <c r="P101" i="60"/>
  <c r="J125" i="52"/>
  <c r="O96" i="52" s="1"/>
  <c r="N96" i="52"/>
  <c r="N103" i="52"/>
  <c r="J132" i="52"/>
  <c r="O103" i="52" s="1"/>
  <c r="J130" i="52"/>
  <c r="O101" i="52" s="1"/>
  <c r="M106" i="52"/>
  <c r="J143" i="52"/>
  <c r="O114" i="52" s="1"/>
  <c r="O389" i="56"/>
  <c r="J139" i="52"/>
  <c r="O110" i="52" s="1"/>
  <c r="N110" i="52"/>
  <c r="J137" i="52"/>
  <c r="O108" i="52" s="1"/>
  <c r="N108" i="52"/>
  <c r="Y159" i="56"/>
  <c r="G419" i="56"/>
  <c r="M83" i="60"/>
  <c r="M101" i="60" s="1"/>
  <c r="K101" i="60"/>
  <c r="X135" i="72"/>
  <c r="E55" i="60"/>
  <c r="E67" i="60" s="1"/>
  <c r="G80" i="60" s="1" a="1"/>
  <c r="E68" i="60"/>
  <c r="K162" i="72"/>
  <c r="M86" i="52" s="1"/>
  <c r="K142" i="72"/>
  <c r="M66" i="52" s="1"/>
  <c r="D135" i="72"/>
  <c r="H124" i="52"/>
  <c r="W385" i="56" l="1"/>
  <c r="M104" i="52"/>
  <c r="E103" i="52"/>
  <c r="E106" i="52"/>
  <c r="E101" i="52"/>
  <c r="E113" i="52"/>
  <c r="E96" i="52"/>
  <c r="E97" i="52"/>
  <c r="E110" i="52"/>
  <c r="E108" i="52"/>
  <c r="E104" i="52"/>
  <c r="J104" i="52"/>
  <c r="K104" i="52" s="1"/>
  <c r="E100" i="52"/>
  <c r="E115" i="52"/>
  <c r="E105" i="52"/>
  <c r="J99" i="52"/>
  <c r="P99" i="52" s="1"/>
  <c r="J103" i="52"/>
  <c r="J106" i="52"/>
  <c r="K106" i="52" s="1"/>
  <c r="J110" i="52"/>
  <c r="J108" i="52"/>
  <c r="J107" i="52"/>
  <c r="J113" i="52"/>
  <c r="J115" i="52"/>
  <c r="L385" i="56"/>
  <c r="L389" i="56" s="1"/>
  <c r="D129" i="52"/>
  <c r="H129" i="52" s="1"/>
  <c r="I129" i="52" s="1"/>
  <c r="J109" i="52"/>
  <c r="J98" i="52"/>
  <c r="K98" i="52" s="1"/>
  <c r="J96" i="52"/>
  <c r="E98" i="52"/>
  <c r="D112" i="52"/>
  <c r="F112" i="52" s="1"/>
  <c r="E109" i="52"/>
  <c r="K99" i="52"/>
  <c r="R99" i="52" s="1"/>
  <c r="J105" i="52"/>
  <c r="J101" i="52"/>
  <c r="J97" i="52"/>
  <c r="J100" i="52"/>
  <c r="K100" i="52" s="1"/>
  <c r="M95" i="52"/>
  <c r="H127" i="52"/>
  <c r="I127" i="52" s="1"/>
  <c r="N86" i="52"/>
  <c r="T86" i="52"/>
  <c r="O86" i="52"/>
  <c r="T66" i="52"/>
  <c r="O66" i="52"/>
  <c r="N66" i="52"/>
  <c r="P114" i="52"/>
  <c r="K114" i="52"/>
  <c r="J141" i="52"/>
  <c r="O112" i="52" s="1"/>
  <c r="M112" i="52"/>
  <c r="K102" i="52"/>
  <c r="N102" i="52"/>
  <c r="M102" i="52"/>
  <c r="P102" i="52" s="1"/>
  <c r="E114" i="52"/>
  <c r="E102" i="52"/>
  <c r="J95" i="52"/>
  <c r="I389" i="56"/>
  <c r="V385" i="56"/>
  <c r="N112" i="52"/>
  <c r="J131" i="52"/>
  <c r="O102" i="52" s="1"/>
  <c r="J111" i="52"/>
  <c r="I124" i="52"/>
  <c r="N95" i="52" s="1"/>
  <c r="J124" i="52"/>
  <c r="O95" i="52" s="1"/>
  <c r="R80" i="60" a="1"/>
  <c r="H80" i="60" a="1"/>
  <c r="G80" i="60"/>
  <c r="G85" i="60"/>
  <c r="G90" i="60"/>
  <c r="G95" i="60"/>
  <c r="G81" i="60"/>
  <c r="G87" i="60"/>
  <c r="G94" i="60"/>
  <c r="G86" i="60"/>
  <c r="G97" i="60"/>
  <c r="G91" i="60"/>
  <c r="G82" i="60"/>
  <c r="G93" i="60"/>
  <c r="G98" i="60"/>
  <c r="G99" i="60"/>
  <c r="G83" i="60"/>
  <c r="G89" i="60"/>
  <c r="G88" i="60"/>
  <c r="G100" i="60"/>
  <c r="G84" i="60"/>
  <c r="G96" i="60"/>
  <c r="G92" i="60"/>
  <c r="J133" i="52"/>
  <c r="O104" i="52" s="1"/>
  <c r="N104" i="52"/>
  <c r="J135" i="52"/>
  <c r="O106" i="52" s="1"/>
  <c r="N106" i="52"/>
  <c r="I29" i="75"/>
  <c r="I30" i="75"/>
  <c r="E72" i="60"/>
  <c r="E99" i="52"/>
  <c r="E107" i="52"/>
  <c r="M98" i="52" l="1"/>
  <c r="P98" i="52" s="1"/>
  <c r="M100" i="52"/>
  <c r="P100" i="52" s="1"/>
  <c r="Q104" i="52"/>
  <c r="P104" i="52"/>
  <c r="R104" i="52"/>
  <c r="Q106" i="52"/>
  <c r="R106" i="52"/>
  <c r="P106" i="52"/>
  <c r="Q99" i="52"/>
  <c r="P103" i="52"/>
  <c r="K103" i="52"/>
  <c r="K108" i="52"/>
  <c r="P108" i="52"/>
  <c r="P115" i="52"/>
  <c r="K115" i="52"/>
  <c r="H145" i="52"/>
  <c r="E214" i="52" s="1"/>
  <c r="D27" i="75" s="1"/>
  <c r="K113" i="52"/>
  <c r="P113" i="52"/>
  <c r="P110" i="52"/>
  <c r="K110" i="52"/>
  <c r="P107" i="52"/>
  <c r="K107" i="52"/>
  <c r="P105" i="52"/>
  <c r="K105" i="52"/>
  <c r="J112" i="52"/>
  <c r="K112" i="52" s="1"/>
  <c r="Q112" i="52" s="1"/>
  <c r="K109" i="52"/>
  <c r="P109" i="52"/>
  <c r="E112" i="52"/>
  <c r="K101" i="52"/>
  <c r="P101" i="52"/>
  <c r="K97" i="52"/>
  <c r="P97" i="52"/>
  <c r="K96" i="52"/>
  <c r="P96" i="52"/>
  <c r="R114" i="52"/>
  <c r="Q114" i="52"/>
  <c r="R102" i="52"/>
  <c r="Q102" i="52"/>
  <c r="P111" i="52"/>
  <c r="K111" i="52"/>
  <c r="P95" i="52"/>
  <c r="K95" i="52"/>
  <c r="E95" i="52"/>
  <c r="G213" i="52"/>
  <c r="F26" i="75" s="1"/>
  <c r="I34" i="75"/>
  <c r="I36" i="75" s="1"/>
  <c r="X385" i="56"/>
  <c r="D145" i="52"/>
  <c r="E111" i="52"/>
  <c r="F213" i="52" s="1"/>
  <c r="E26" i="75" s="1"/>
  <c r="E213" i="52"/>
  <c r="D26" i="75" s="1"/>
  <c r="J129" i="52"/>
  <c r="O100" i="52" s="1"/>
  <c r="R100" i="52" s="1"/>
  <c r="N100" i="52"/>
  <c r="Q100" i="52" s="1"/>
  <c r="H80" i="60"/>
  <c r="H87" i="60"/>
  <c r="I87" i="60" s="1"/>
  <c r="H83" i="60"/>
  <c r="I83" i="60" s="1"/>
  <c r="D155" i="52" s="1"/>
  <c r="H95" i="60"/>
  <c r="I95" i="60" s="1"/>
  <c r="H99" i="60"/>
  <c r="H91" i="60"/>
  <c r="H90" i="60"/>
  <c r="I90" i="60" s="1"/>
  <c r="H93" i="60"/>
  <c r="H100" i="60"/>
  <c r="H84" i="60"/>
  <c r="I84" i="60" s="1"/>
  <c r="H86" i="60"/>
  <c r="H89" i="60"/>
  <c r="I89" i="60" s="1"/>
  <c r="H96" i="60"/>
  <c r="I96" i="60" s="1"/>
  <c r="H98" i="60"/>
  <c r="I98" i="60" s="1"/>
  <c r="H82" i="60"/>
  <c r="H85" i="60"/>
  <c r="H92" i="60"/>
  <c r="I92" i="60" s="1"/>
  <c r="H94" i="60"/>
  <c r="H97" i="60"/>
  <c r="H81" i="60"/>
  <c r="H88" i="60"/>
  <c r="I88" i="60" s="1"/>
  <c r="J127" i="52"/>
  <c r="O98" i="52" s="1"/>
  <c r="R98" i="52" s="1"/>
  <c r="N98" i="52"/>
  <c r="Q98" i="52" s="1"/>
  <c r="R80" i="60"/>
  <c r="R91" i="60"/>
  <c r="R87" i="60"/>
  <c r="R83" i="60"/>
  <c r="R95" i="60"/>
  <c r="R99" i="60"/>
  <c r="R98" i="60"/>
  <c r="R82" i="60"/>
  <c r="R85" i="60"/>
  <c r="R92" i="60"/>
  <c r="R94" i="60"/>
  <c r="R97" i="60"/>
  <c r="R81" i="60"/>
  <c r="R88" i="60"/>
  <c r="R90" i="60"/>
  <c r="R93" i="60"/>
  <c r="R100" i="60"/>
  <c r="R84" i="60"/>
  <c r="R86" i="60"/>
  <c r="R89" i="60"/>
  <c r="R96" i="60"/>
  <c r="E69" i="60"/>
  <c r="E71" i="60"/>
  <c r="M116" i="52" l="1"/>
  <c r="R112" i="52"/>
  <c r="J116" i="52"/>
  <c r="P112" i="52"/>
  <c r="Q103" i="52"/>
  <c r="R103" i="52"/>
  <c r="Q115" i="52"/>
  <c r="R115" i="52"/>
  <c r="Q107" i="52"/>
  <c r="R107" i="52"/>
  <c r="R113" i="52"/>
  <c r="Q113" i="52"/>
  <c r="R110" i="52"/>
  <c r="Q110" i="52"/>
  <c r="R108" i="52"/>
  <c r="Q108" i="52"/>
  <c r="D159" i="52"/>
  <c r="F159" i="52" s="1"/>
  <c r="Q105" i="52"/>
  <c r="R105" i="52"/>
  <c r="D160" i="52"/>
  <c r="F160" i="52" s="1"/>
  <c r="D164" i="52"/>
  <c r="E164" i="52" s="1"/>
  <c r="D168" i="52"/>
  <c r="F168" i="52" s="1"/>
  <c r="Q97" i="52"/>
  <c r="R97" i="52"/>
  <c r="D170" i="52"/>
  <c r="E170" i="52" s="1"/>
  <c r="D161" i="52"/>
  <c r="F161" i="52" s="1"/>
  <c r="D167" i="52"/>
  <c r="F167" i="52" s="1"/>
  <c r="Q109" i="52"/>
  <c r="R109" i="52"/>
  <c r="D156" i="52"/>
  <c r="F156" i="52" s="1"/>
  <c r="D162" i="52"/>
  <c r="E162" i="52" s="1"/>
  <c r="R96" i="52"/>
  <c r="Q96" i="52"/>
  <c r="R101" i="52"/>
  <c r="Q101" i="52"/>
  <c r="P116" i="52"/>
  <c r="Q111" i="52"/>
  <c r="R111" i="52"/>
  <c r="O116" i="52"/>
  <c r="K116" i="52"/>
  <c r="R95" i="52"/>
  <c r="Q95" i="52"/>
  <c r="N116" i="52"/>
  <c r="I145" i="52"/>
  <c r="J145" i="52"/>
  <c r="H101" i="60"/>
  <c r="R101" i="60"/>
  <c r="F242" i="52" s="1"/>
  <c r="F155" i="52"/>
  <c r="I99" i="60"/>
  <c r="I85" i="60"/>
  <c r="I93" i="60"/>
  <c r="I97" i="60"/>
  <c r="I81" i="60"/>
  <c r="I94" i="60"/>
  <c r="I100" i="60"/>
  <c r="D172" i="52" s="1"/>
  <c r="I91" i="60"/>
  <c r="I80" i="60"/>
  <c r="D152" i="52" s="1"/>
  <c r="I82" i="60"/>
  <c r="I86" i="60"/>
  <c r="G101" i="60"/>
  <c r="E159" i="52" l="1"/>
  <c r="E160" i="52"/>
  <c r="E168" i="52"/>
  <c r="F170" i="52"/>
  <c r="F162" i="52"/>
  <c r="E167" i="52"/>
  <c r="E156" i="52"/>
  <c r="D154" i="52"/>
  <c r="E154" i="52" s="1"/>
  <c r="F164" i="52"/>
  <c r="D157" i="52"/>
  <c r="E157" i="52" s="1"/>
  <c r="E161" i="52"/>
  <c r="D165" i="52"/>
  <c r="E165" i="52" s="1"/>
  <c r="D166" i="52"/>
  <c r="E166" i="52" s="1"/>
  <c r="D169" i="52"/>
  <c r="F169" i="52" s="1"/>
  <c r="D171" i="52"/>
  <c r="E171" i="52" s="1"/>
  <c r="D158" i="52"/>
  <c r="F158" i="52" s="1"/>
  <c r="D163" i="52"/>
  <c r="F163" i="52" s="1"/>
  <c r="D153" i="52"/>
  <c r="E153" i="52" s="1"/>
  <c r="G214" i="52"/>
  <c r="F27" i="75" s="1"/>
  <c r="F214" i="52"/>
  <c r="E27" i="75" s="1"/>
  <c r="Q116" i="52"/>
  <c r="R116" i="52"/>
  <c r="F172" i="52"/>
  <c r="E155" i="52"/>
  <c r="I101" i="60"/>
  <c r="F152" i="52"/>
  <c r="E152" i="52"/>
  <c r="F154" i="52" l="1"/>
  <c r="F171" i="52"/>
  <c r="F166" i="52"/>
  <c r="F157" i="52"/>
  <c r="F153" i="52"/>
  <c r="E163" i="52"/>
  <c r="E158" i="52"/>
  <c r="E169" i="52"/>
  <c r="F165" i="52"/>
  <c r="I105" i="60"/>
  <c r="H105" i="60"/>
  <c r="G105" i="60"/>
  <c r="D173" i="52"/>
  <c r="E215" i="52" s="1"/>
  <c r="D28" i="75" s="1"/>
  <c r="E172" i="52"/>
  <c r="E22" i="62"/>
  <c r="E28" i="62"/>
  <c r="X54" i="70" a="1"/>
  <c r="F173" i="52" l="1"/>
  <c r="G215" i="52" s="1"/>
  <c r="F28" i="75" s="1"/>
  <c r="E173" i="52"/>
  <c r="F215" i="52" s="1"/>
  <c r="E28" i="75" s="1"/>
  <c r="X55" i="70"/>
  <c r="X58" i="70"/>
  <c r="X66" i="70"/>
  <c r="X74" i="70"/>
  <c r="X61" i="70"/>
  <c r="X69" i="70"/>
  <c r="X57" i="70"/>
  <c r="X65" i="70"/>
  <c r="X73" i="70"/>
  <c r="X54" i="70"/>
  <c r="X62" i="70"/>
  <c r="X70" i="70"/>
  <c r="X72" i="70"/>
  <c r="X56" i="70"/>
  <c r="X59" i="70"/>
  <c r="X68" i="70"/>
  <c r="X71" i="70"/>
  <c r="X64" i="70"/>
  <c r="X60" i="70"/>
  <c r="X63" i="70"/>
  <c r="X67" i="70"/>
  <c r="E16" i="62"/>
  <c r="E40" i="62"/>
  <c r="K53" i="62" s="1" a="1"/>
  <c r="N75" i="70"/>
  <c r="E35" i="70"/>
  <c r="E36" i="70"/>
  <c r="J54" i="70" s="1" a="1"/>
  <c r="K53" i="62" l="1"/>
  <c r="K56" i="62"/>
  <c r="K72" i="62"/>
  <c r="K68" i="62"/>
  <c r="K60" i="62"/>
  <c r="K64" i="62"/>
  <c r="K67" i="62"/>
  <c r="K70" i="62"/>
  <c r="K54" i="62"/>
  <c r="K61" i="62"/>
  <c r="K63" i="62"/>
  <c r="K66" i="62"/>
  <c r="K73" i="62"/>
  <c r="K57" i="62"/>
  <c r="K59" i="62"/>
  <c r="K62" i="62"/>
  <c r="K69" i="62"/>
  <c r="K71" i="62"/>
  <c r="K55" i="62"/>
  <c r="K58" i="62"/>
  <c r="K65" i="62"/>
  <c r="J57" i="70"/>
  <c r="J61" i="70"/>
  <c r="L61" i="70" s="1"/>
  <c r="E73" i="52" s="1"/>
  <c r="J65" i="70"/>
  <c r="L65" i="70" s="1"/>
  <c r="E77" i="52" s="1"/>
  <c r="J69" i="70"/>
  <c r="L69" i="70" s="1"/>
  <c r="E81" i="52" s="1"/>
  <c r="J73" i="70"/>
  <c r="L73" i="70" s="1"/>
  <c r="E85" i="52" s="1"/>
  <c r="J55" i="70"/>
  <c r="L55" i="70" s="1"/>
  <c r="E67" i="52" s="1"/>
  <c r="J60" i="70"/>
  <c r="L60" i="70" s="1"/>
  <c r="E72" i="52" s="1"/>
  <c r="J66" i="70"/>
  <c r="L66" i="70" s="1"/>
  <c r="E78" i="52" s="1"/>
  <c r="J71" i="70"/>
  <c r="L71" i="70" s="1"/>
  <c r="E83" i="52" s="1"/>
  <c r="J56" i="70"/>
  <c r="L56" i="70" s="1"/>
  <c r="E68" i="52" s="1"/>
  <c r="J62" i="70"/>
  <c r="L62" i="70" s="1"/>
  <c r="E74" i="52" s="1"/>
  <c r="J67" i="70"/>
  <c r="L67" i="70" s="1"/>
  <c r="E79" i="52" s="1"/>
  <c r="J72" i="70"/>
  <c r="L72" i="70" s="1"/>
  <c r="E84" i="52" s="1"/>
  <c r="J63" i="70"/>
  <c r="L63" i="70" s="1"/>
  <c r="E75" i="52" s="1"/>
  <c r="J74" i="70"/>
  <c r="L74" i="70" s="1"/>
  <c r="E86" i="52" s="1"/>
  <c r="J54" i="70"/>
  <c r="L54" i="70" s="1"/>
  <c r="E66" i="52" s="1"/>
  <c r="J64" i="70"/>
  <c r="L64" i="70" s="1"/>
  <c r="E76" i="52" s="1"/>
  <c r="J58" i="70"/>
  <c r="J68" i="70"/>
  <c r="L68" i="70" s="1"/>
  <c r="E80" i="52" s="1"/>
  <c r="J59" i="70"/>
  <c r="L59" i="70" s="1"/>
  <c r="E71" i="52" s="1"/>
  <c r="J70" i="70"/>
  <c r="L70" i="70" s="1"/>
  <c r="E82" i="52" s="1"/>
  <c r="Y54" i="70" a="1"/>
  <c r="W75" i="70"/>
  <c r="F232" i="52" s="1"/>
  <c r="E34" i="62"/>
  <c r="J53" i="62" s="1" a="1"/>
  <c r="X75" i="70"/>
  <c r="F233" i="52" s="1"/>
  <c r="H75" i="70"/>
  <c r="I59" i="70"/>
  <c r="D71" i="52" s="1"/>
  <c r="I72" i="62"/>
  <c r="D27" i="52" s="1"/>
  <c r="I68" i="70"/>
  <c r="D80" i="52" s="1"/>
  <c r="I72" i="70"/>
  <c r="D84" i="52" s="1"/>
  <c r="I60" i="70"/>
  <c r="D72" i="52" s="1"/>
  <c r="I69" i="70"/>
  <c r="D81" i="52" s="1"/>
  <c r="I69" i="62"/>
  <c r="D24" i="52" s="1"/>
  <c r="I62" i="62"/>
  <c r="D17" i="52" s="1"/>
  <c r="I67" i="62"/>
  <c r="D22" i="52" s="1"/>
  <c r="I70" i="62"/>
  <c r="D25" i="52" s="1"/>
  <c r="I63" i="62"/>
  <c r="D18" i="52" s="1"/>
  <c r="E46" i="70"/>
  <c r="Q75" i="70"/>
  <c r="W60" i="54" a="1"/>
  <c r="X60" i="54" a="1"/>
  <c r="I64" i="62"/>
  <c r="D19" i="52" s="1"/>
  <c r="I57" i="62"/>
  <c r="D12" i="52" s="1"/>
  <c r="E44" i="62"/>
  <c r="I63" i="70"/>
  <c r="D75" i="52" s="1"/>
  <c r="I61" i="70"/>
  <c r="D73" i="52" s="1"/>
  <c r="I71" i="70"/>
  <c r="D83" i="52" s="1"/>
  <c r="I62" i="70"/>
  <c r="D74" i="52" s="1"/>
  <c r="H74" i="62"/>
  <c r="I71" i="62"/>
  <c r="D26" i="52" s="1"/>
  <c r="I59" i="62"/>
  <c r="D14" i="52" s="1"/>
  <c r="I68" i="62"/>
  <c r="D23" i="52" s="1"/>
  <c r="I73" i="70"/>
  <c r="D85" i="52" s="1"/>
  <c r="I65" i="70"/>
  <c r="D77" i="52" s="1"/>
  <c r="I66" i="70"/>
  <c r="D78" i="52" s="1"/>
  <c r="I64" i="70"/>
  <c r="D76" i="52" s="1"/>
  <c r="I65" i="62"/>
  <c r="D20" i="52" s="1"/>
  <c r="I66" i="62"/>
  <c r="D21" i="52" s="1"/>
  <c r="I61" i="62"/>
  <c r="D16" i="52" s="1"/>
  <c r="I60" i="62"/>
  <c r="D15" i="52" s="1"/>
  <c r="E45" i="70"/>
  <c r="I58" i="62"/>
  <c r="D13" i="52" s="1"/>
  <c r="I70" i="70"/>
  <c r="D82" i="52" s="1"/>
  <c r="I67" i="70"/>
  <c r="D79" i="52" s="1"/>
  <c r="I58" i="70"/>
  <c r="D70" i="52" s="1"/>
  <c r="G80" i="52" l="1"/>
  <c r="F80" i="52"/>
  <c r="S80" i="52"/>
  <c r="G86" i="52"/>
  <c r="F86" i="52"/>
  <c r="S86" i="52"/>
  <c r="U86" i="52" s="1"/>
  <c r="W86" i="52" s="1"/>
  <c r="G74" i="52"/>
  <c r="F74" i="52"/>
  <c r="S74" i="52"/>
  <c r="G72" i="52"/>
  <c r="F72" i="52"/>
  <c r="S72" i="52"/>
  <c r="S77" i="52"/>
  <c r="G77" i="52"/>
  <c r="F77" i="52"/>
  <c r="S75" i="52"/>
  <c r="G75" i="52"/>
  <c r="F75" i="52"/>
  <c r="G68" i="52"/>
  <c r="F68" i="52"/>
  <c r="S68" i="52"/>
  <c r="G67" i="52"/>
  <c r="S67" i="52"/>
  <c r="F67" i="52"/>
  <c r="S73" i="52"/>
  <c r="F73" i="52"/>
  <c r="G73" i="52"/>
  <c r="G82" i="52"/>
  <c r="F82" i="52"/>
  <c r="S82" i="52"/>
  <c r="G76" i="52"/>
  <c r="F76" i="52"/>
  <c r="S76" i="52"/>
  <c r="G84" i="52"/>
  <c r="F84" i="52"/>
  <c r="S84" i="52"/>
  <c r="S83" i="52"/>
  <c r="G83" i="52"/>
  <c r="F83" i="52"/>
  <c r="S85" i="52"/>
  <c r="F85" i="52"/>
  <c r="G85" i="52"/>
  <c r="S71" i="52"/>
  <c r="G71" i="52"/>
  <c r="F71" i="52"/>
  <c r="G66" i="52"/>
  <c r="S66" i="52"/>
  <c r="F66" i="52"/>
  <c r="S79" i="52"/>
  <c r="G79" i="52"/>
  <c r="F79" i="52"/>
  <c r="G78" i="52"/>
  <c r="F78" i="52"/>
  <c r="S78" i="52"/>
  <c r="S81" i="52"/>
  <c r="F81" i="52"/>
  <c r="G81" i="52"/>
  <c r="K74" i="62"/>
  <c r="J53" i="62"/>
  <c r="L53" i="62" s="1"/>
  <c r="E8" i="52" s="1"/>
  <c r="J56" i="62"/>
  <c r="J62" i="62"/>
  <c r="L62" i="62" s="1"/>
  <c r="J67" i="62"/>
  <c r="L67" i="62" s="1"/>
  <c r="J72" i="62"/>
  <c r="L72" i="62" s="1"/>
  <c r="J58" i="62"/>
  <c r="L58" i="62" s="1"/>
  <c r="J64" i="62"/>
  <c r="L64" i="62" s="1"/>
  <c r="J71" i="62"/>
  <c r="L71" i="62" s="1"/>
  <c r="J59" i="62"/>
  <c r="L59" i="62" s="1"/>
  <c r="J66" i="62"/>
  <c r="L66" i="62" s="1"/>
  <c r="J54" i="62"/>
  <c r="L54" i="62" s="1"/>
  <c r="E9" i="52" s="1"/>
  <c r="J60" i="62"/>
  <c r="L60" i="62" s="1"/>
  <c r="J68" i="62"/>
  <c r="L68" i="62" s="1"/>
  <c r="J55" i="62"/>
  <c r="L55" i="62" s="1"/>
  <c r="E10" i="52" s="1"/>
  <c r="J63" i="62"/>
  <c r="L63" i="62" s="1"/>
  <c r="J70" i="62"/>
  <c r="L70" i="62" s="1"/>
  <c r="J65" i="62"/>
  <c r="L65" i="62" s="1"/>
  <c r="J61" i="62"/>
  <c r="L61" i="62" s="1"/>
  <c r="J73" i="62"/>
  <c r="L73" i="62" s="1"/>
  <c r="E28" i="52" s="1"/>
  <c r="J57" i="62"/>
  <c r="L57" i="62" s="1"/>
  <c r="J69" i="62"/>
  <c r="L69" i="62" s="1"/>
  <c r="O75" i="70"/>
  <c r="M75" i="70"/>
  <c r="R75" i="70"/>
  <c r="P75" i="70"/>
  <c r="K75" i="70"/>
  <c r="K78" i="70" s="1"/>
  <c r="L58" i="70"/>
  <c r="E70" i="52" s="1"/>
  <c r="Y55" i="70"/>
  <c r="Y57" i="70"/>
  <c r="Y62" i="70"/>
  <c r="Y68" i="70"/>
  <c r="Y73" i="70"/>
  <c r="Y56" i="70"/>
  <c r="Y61" i="70"/>
  <c r="Y66" i="70"/>
  <c r="Y72" i="70"/>
  <c r="Y58" i="70"/>
  <c r="Y54" i="70"/>
  <c r="Y69" i="70"/>
  <c r="Y60" i="70"/>
  <c r="Y70" i="70"/>
  <c r="Y64" i="70"/>
  <c r="Y74" i="70"/>
  <c r="Y65" i="70"/>
  <c r="Y63" i="70"/>
  <c r="Y71" i="70"/>
  <c r="Y67" i="70"/>
  <c r="Y59" i="70"/>
  <c r="E45" i="62"/>
  <c r="X61" i="54"/>
  <c r="X70" i="54"/>
  <c r="X75" i="54"/>
  <c r="X80" i="54"/>
  <c r="X62" i="54"/>
  <c r="X67" i="54"/>
  <c r="X72" i="54"/>
  <c r="X78" i="54"/>
  <c r="X63" i="54"/>
  <c r="X68" i="54"/>
  <c r="X74" i="54"/>
  <c r="X79" i="54"/>
  <c r="X64" i="54"/>
  <c r="X60" i="54"/>
  <c r="X66" i="54"/>
  <c r="X71" i="54"/>
  <c r="X76" i="54"/>
  <c r="X77" i="54"/>
  <c r="X73" i="54"/>
  <c r="X69" i="54"/>
  <c r="X65" i="54"/>
  <c r="W61" i="54"/>
  <c r="W64" i="54"/>
  <c r="W67" i="54"/>
  <c r="W75" i="54"/>
  <c r="W60" i="54"/>
  <c r="W68" i="54"/>
  <c r="W76" i="54"/>
  <c r="W63" i="54"/>
  <c r="W71" i="54"/>
  <c r="W79" i="54"/>
  <c r="W72" i="54"/>
  <c r="W80" i="54"/>
  <c r="W74" i="54"/>
  <c r="W77" i="54"/>
  <c r="W73" i="54"/>
  <c r="W66" i="54"/>
  <c r="W69" i="54"/>
  <c r="W78" i="54"/>
  <c r="W62" i="54"/>
  <c r="W65" i="54"/>
  <c r="W70" i="54"/>
  <c r="F188" i="52"/>
  <c r="G188" i="52"/>
  <c r="F200" i="52"/>
  <c r="G200" i="52"/>
  <c r="F194" i="52"/>
  <c r="G194" i="52"/>
  <c r="G187" i="52"/>
  <c r="F187" i="52"/>
  <c r="I57" i="70"/>
  <c r="D69" i="52" s="1"/>
  <c r="G75" i="70"/>
  <c r="F197" i="52"/>
  <c r="G197" i="52"/>
  <c r="G189" i="52"/>
  <c r="F189" i="52"/>
  <c r="F196" i="52"/>
  <c r="G196" i="52"/>
  <c r="H78" i="70"/>
  <c r="G198" i="52"/>
  <c r="F198" i="52"/>
  <c r="G190" i="52"/>
  <c r="F190" i="52"/>
  <c r="F191" i="52"/>
  <c r="G191" i="52"/>
  <c r="I56" i="62"/>
  <c r="D11" i="52" s="1"/>
  <c r="G74" i="62"/>
  <c r="G199" i="52"/>
  <c r="F199" i="52"/>
  <c r="F195" i="52"/>
  <c r="G195" i="52"/>
  <c r="F193" i="52"/>
  <c r="G193" i="52"/>
  <c r="F192" i="52"/>
  <c r="G192" i="52"/>
  <c r="J75" i="70"/>
  <c r="L57" i="70"/>
  <c r="E69" i="52" s="1"/>
  <c r="G185" i="52"/>
  <c r="F185" i="52"/>
  <c r="F186" i="52"/>
  <c r="G186" i="52"/>
  <c r="E18" i="52" l="1"/>
  <c r="G18" i="52" s="1"/>
  <c r="E19" i="52"/>
  <c r="G19" i="52" s="1"/>
  <c r="E13" i="52"/>
  <c r="G13" i="52" s="1"/>
  <c r="S69" i="52"/>
  <c r="F69" i="52"/>
  <c r="G69" i="52"/>
  <c r="E24" i="52"/>
  <c r="F24" i="52" s="1"/>
  <c r="E20" i="52"/>
  <c r="F20" i="52" s="1"/>
  <c r="E23" i="52"/>
  <c r="F23" i="52" s="1"/>
  <c r="E14" i="52"/>
  <c r="G14" i="52" s="1"/>
  <c r="E27" i="52"/>
  <c r="F27" i="52" s="1"/>
  <c r="U66" i="52"/>
  <c r="W66" i="52" s="1"/>
  <c r="E16" i="52"/>
  <c r="F16" i="52" s="1"/>
  <c r="E21" i="52"/>
  <c r="F21" i="52" s="1"/>
  <c r="E12" i="52"/>
  <c r="G12" i="52" s="1"/>
  <c r="E25" i="52"/>
  <c r="G25" i="52" s="1"/>
  <c r="E15" i="52"/>
  <c r="F15" i="52" s="1"/>
  <c r="E26" i="52"/>
  <c r="G26" i="52" s="1"/>
  <c r="E22" i="52"/>
  <c r="G22" i="52" s="1"/>
  <c r="V86" i="52"/>
  <c r="G70" i="52"/>
  <c r="F70" i="52"/>
  <c r="S70" i="52"/>
  <c r="E17" i="52"/>
  <c r="F17" i="52" s="1"/>
  <c r="F9" i="52"/>
  <c r="G9" i="52"/>
  <c r="G10" i="52"/>
  <c r="F10" i="52"/>
  <c r="G8" i="52"/>
  <c r="F8" i="52"/>
  <c r="G28" i="52"/>
  <c r="F28" i="52"/>
  <c r="J74" i="62"/>
  <c r="L56" i="62"/>
  <c r="E11" i="52" s="1"/>
  <c r="Y75" i="70"/>
  <c r="F234" i="52" s="1"/>
  <c r="W81" i="54"/>
  <c r="F228" i="52" s="1"/>
  <c r="X81" i="54"/>
  <c r="F229" i="52" s="1"/>
  <c r="I79" i="54"/>
  <c r="D56" i="52" s="1"/>
  <c r="G78" i="70"/>
  <c r="L75" i="70"/>
  <c r="E42" i="54"/>
  <c r="K60" i="54" s="1" a="1"/>
  <c r="D87" i="52"/>
  <c r="I75" i="70"/>
  <c r="G79" i="70" s="1"/>
  <c r="J78" i="70"/>
  <c r="D202" i="52"/>
  <c r="D29" i="52"/>
  <c r="I74" i="62"/>
  <c r="F14" i="52" l="1"/>
  <c r="F18" i="52"/>
  <c r="G23" i="52"/>
  <c r="F12" i="52"/>
  <c r="G17" i="52"/>
  <c r="F13" i="52"/>
  <c r="F22" i="52"/>
  <c r="G21" i="52"/>
  <c r="G20" i="52"/>
  <c r="V66" i="52"/>
  <c r="F19" i="52"/>
  <c r="F25" i="52"/>
  <c r="G16" i="52"/>
  <c r="G15" i="52"/>
  <c r="F26" i="52"/>
  <c r="S87" i="52"/>
  <c r="G27" i="52"/>
  <c r="G24" i="52"/>
  <c r="K78" i="54"/>
  <c r="Y78" i="54" s="1"/>
  <c r="K79" i="54"/>
  <c r="Y79" i="54" s="1"/>
  <c r="K63" i="54"/>
  <c r="Y63" i="54" s="1"/>
  <c r="K71" i="54"/>
  <c r="Y71" i="54" s="1"/>
  <c r="K67" i="54"/>
  <c r="Y67" i="54" s="1"/>
  <c r="K60" i="54"/>
  <c r="Y60" i="54" s="1"/>
  <c r="K75" i="54"/>
  <c r="Y75" i="54" s="1"/>
  <c r="K76" i="54"/>
  <c r="Y76" i="54" s="1"/>
  <c r="K69" i="54"/>
  <c r="Y69" i="54" s="1"/>
  <c r="K66" i="54"/>
  <c r="Y66" i="54" s="1"/>
  <c r="K64" i="54"/>
  <c r="Y64" i="54" s="1"/>
  <c r="K80" i="54"/>
  <c r="Y80" i="54" s="1"/>
  <c r="K73" i="54"/>
  <c r="Y73" i="54" s="1"/>
  <c r="K70" i="54"/>
  <c r="Y70" i="54" s="1"/>
  <c r="K68" i="54"/>
  <c r="Y68" i="54" s="1"/>
  <c r="K61" i="54"/>
  <c r="Y61" i="54" s="1"/>
  <c r="K77" i="54"/>
  <c r="Y77" i="54" s="1"/>
  <c r="K74" i="54"/>
  <c r="Y74" i="54" s="1"/>
  <c r="K72" i="54"/>
  <c r="Y72" i="54" s="1"/>
  <c r="K65" i="54"/>
  <c r="Y65" i="54" s="1"/>
  <c r="K62" i="54"/>
  <c r="Y62" i="54" s="1"/>
  <c r="L74" i="62"/>
  <c r="E36" i="54"/>
  <c r="V60" i="54" a="1"/>
  <c r="H81" i="54"/>
  <c r="I64" i="54"/>
  <c r="D41" i="52" s="1"/>
  <c r="I73" i="54"/>
  <c r="D50" i="52" s="1"/>
  <c r="F11" i="52"/>
  <c r="G11" i="52"/>
  <c r="E29" i="52"/>
  <c r="I63" i="54"/>
  <c r="D40" i="52" s="1"/>
  <c r="E51" i="54"/>
  <c r="I76" i="54"/>
  <c r="D53" i="52" s="1"/>
  <c r="I78" i="70"/>
  <c r="H79" i="70"/>
  <c r="I79" i="70" s="1"/>
  <c r="I62" i="54"/>
  <c r="D39" i="52" s="1"/>
  <c r="F184" i="52"/>
  <c r="F202" i="52" s="1"/>
  <c r="F217" i="52" s="1"/>
  <c r="E31" i="75" s="1"/>
  <c r="G184" i="52"/>
  <c r="G202" i="52" s="1"/>
  <c r="G217" i="52" s="1"/>
  <c r="F31" i="75" s="1"/>
  <c r="E202" i="52"/>
  <c r="E217" i="52" s="1"/>
  <c r="I70" i="54"/>
  <c r="D47" i="52" s="1"/>
  <c r="L78" i="70"/>
  <c r="K79" i="70"/>
  <c r="I71" i="54"/>
  <c r="D48" i="52" s="1"/>
  <c r="I66" i="54"/>
  <c r="D43" i="52" s="1"/>
  <c r="I65" i="54"/>
  <c r="D42" i="52" s="1"/>
  <c r="I69" i="54"/>
  <c r="I77" i="54"/>
  <c r="D54" i="52" s="1"/>
  <c r="I78" i="54"/>
  <c r="D55" i="52" s="1"/>
  <c r="I68" i="54"/>
  <c r="D45" i="52" s="1"/>
  <c r="I72" i="54"/>
  <c r="D49" i="52" s="1"/>
  <c r="I75" i="54"/>
  <c r="I67" i="54"/>
  <c r="D44" i="52" s="1"/>
  <c r="J79" i="70"/>
  <c r="E87" i="52"/>
  <c r="I74" i="54"/>
  <c r="D51" i="52" s="1"/>
  <c r="E211" i="52" l="1"/>
  <c r="Y83" i="52"/>
  <c r="G29" i="52"/>
  <c r="E218" i="52"/>
  <c r="D30" i="75" s="1"/>
  <c r="D52" i="52"/>
  <c r="D46" i="52"/>
  <c r="F29" i="52"/>
  <c r="E52" i="54"/>
  <c r="J60" i="54" a="1"/>
  <c r="O60" i="54" a="1"/>
  <c r="K81" i="54"/>
  <c r="K84" i="54" s="1"/>
  <c r="V61" i="54"/>
  <c r="V64" i="54"/>
  <c r="V67" i="54"/>
  <c r="V75" i="54"/>
  <c r="V60" i="54"/>
  <c r="V68" i="54"/>
  <c r="V76" i="54"/>
  <c r="V63" i="54"/>
  <c r="V71" i="54"/>
  <c r="V79" i="54"/>
  <c r="V72" i="54"/>
  <c r="V80" i="54"/>
  <c r="V70" i="54"/>
  <c r="V73" i="54"/>
  <c r="V69" i="54"/>
  <c r="V78" i="54"/>
  <c r="V62" i="54"/>
  <c r="V65" i="54"/>
  <c r="V74" i="54"/>
  <c r="V77" i="54"/>
  <c r="V66" i="54"/>
  <c r="L79" i="70"/>
  <c r="I61" i="54"/>
  <c r="G81" i="54"/>
  <c r="H84" i="54"/>
  <c r="G218" i="52" l="1"/>
  <c r="F30" i="75" s="1"/>
  <c r="F218" i="52"/>
  <c r="E30" i="75" s="1"/>
  <c r="D31" i="75"/>
  <c r="J60" i="54"/>
  <c r="L60" i="54" s="1"/>
  <c r="E37" i="52" s="1"/>
  <c r="J64" i="54"/>
  <c r="L64" i="54" s="1"/>
  <c r="E41" i="52" s="1"/>
  <c r="J68" i="54"/>
  <c r="L68" i="54" s="1"/>
  <c r="E45" i="52" s="1"/>
  <c r="J72" i="54"/>
  <c r="L72" i="54" s="1"/>
  <c r="E49" i="52" s="1"/>
  <c r="J76" i="54"/>
  <c r="L76" i="54" s="1"/>
  <c r="E53" i="52" s="1"/>
  <c r="J80" i="54"/>
  <c r="L80" i="54" s="1"/>
  <c r="E57" i="52" s="1"/>
  <c r="J62" i="54"/>
  <c r="L62" i="54" s="1"/>
  <c r="E39" i="52" s="1"/>
  <c r="J67" i="54"/>
  <c r="L67" i="54" s="1"/>
  <c r="E44" i="52" s="1"/>
  <c r="J73" i="54"/>
  <c r="L73" i="54" s="1"/>
  <c r="E50" i="52" s="1"/>
  <c r="J78" i="54"/>
  <c r="L78" i="54" s="1"/>
  <c r="E55" i="52" s="1"/>
  <c r="J61" i="54"/>
  <c r="L61" i="54" s="1"/>
  <c r="E38" i="52" s="1"/>
  <c r="J69" i="54"/>
  <c r="J75" i="54"/>
  <c r="J63" i="54"/>
  <c r="L63" i="54" s="1"/>
  <c r="J70" i="54"/>
  <c r="L70" i="54" s="1"/>
  <c r="E47" i="52" s="1"/>
  <c r="J77" i="54"/>
  <c r="L77" i="54" s="1"/>
  <c r="E54" i="52" s="1"/>
  <c r="J65" i="54"/>
  <c r="L65" i="54" s="1"/>
  <c r="E42" i="52" s="1"/>
  <c r="J71" i="54"/>
  <c r="L71" i="54" s="1"/>
  <c r="E48" i="52" s="1"/>
  <c r="J79" i="54"/>
  <c r="L79" i="54" s="1"/>
  <c r="E56" i="52" s="1"/>
  <c r="J66" i="54"/>
  <c r="L66" i="54" s="1"/>
  <c r="E43" i="52" s="1"/>
  <c r="J74" i="54"/>
  <c r="L74" i="54" s="1"/>
  <c r="E51" i="52" s="1"/>
  <c r="O60" i="54"/>
  <c r="O71" i="54"/>
  <c r="O67" i="54"/>
  <c r="O75" i="54"/>
  <c r="O63" i="54"/>
  <c r="O79" i="54"/>
  <c r="O70" i="54"/>
  <c r="O73" i="54"/>
  <c r="O80" i="54"/>
  <c r="O64" i="54"/>
  <c r="O66" i="54"/>
  <c r="O69" i="54"/>
  <c r="O76" i="54"/>
  <c r="O78" i="54"/>
  <c r="O62" i="54"/>
  <c r="O65" i="54"/>
  <c r="O72" i="54"/>
  <c r="O74" i="54"/>
  <c r="O77" i="54"/>
  <c r="O61" i="54"/>
  <c r="O68" i="54"/>
  <c r="V81" i="54"/>
  <c r="Y81" i="54"/>
  <c r="F230" i="52" s="1"/>
  <c r="G84" i="54"/>
  <c r="D38" i="52"/>
  <c r="D58" i="52" s="1"/>
  <c r="I81" i="54"/>
  <c r="G85" i="54" s="1"/>
  <c r="E40" i="52" l="1"/>
  <c r="F40" i="52" s="1"/>
  <c r="L69" i="54"/>
  <c r="L75" i="54"/>
  <c r="F43" i="52"/>
  <c r="G43" i="52"/>
  <c r="F56" i="52"/>
  <c r="G56" i="52"/>
  <c r="F47" i="52"/>
  <c r="G47" i="52"/>
  <c r="F45" i="52"/>
  <c r="G45" i="52"/>
  <c r="F48" i="52"/>
  <c r="G48" i="52"/>
  <c r="G55" i="52"/>
  <c r="F55" i="52"/>
  <c r="G57" i="52"/>
  <c r="F57" i="52"/>
  <c r="F41" i="52"/>
  <c r="G41" i="52"/>
  <c r="F54" i="52"/>
  <c r="G54" i="52"/>
  <c r="F44" i="52"/>
  <c r="G44" i="52"/>
  <c r="G49" i="52"/>
  <c r="F49" i="52"/>
  <c r="J81" i="54"/>
  <c r="J84" i="54" s="1"/>
  <c r="F39" i="52"/>
  <c r="G39" i="52"/>
  <c r="G51" i="52"/>
  <c r="F51" i="52"/>
  <c r="F42" i="52"/>
  <c r="G42" i="52"/>
  <c r="G50" i="52"/>
  <c r="F50" i="52"/>
  <c r="F53" i="52"/>
  <c r="G53" i="52"/>
  <c r="F37" i="52"/>
  <c r="G37" i="52"/>
  <c r="O81" i="54"/>
  <c r="W132" i="72"/>
  <c r="J161" i="72" s="1"/>
  <c r="E132" i="72"/>
  <c r="F132" i="72"/>
  <c r="I84" i="54"/>
  <c r="H85" i="54"/>
  <c r="I85" i="54" s="1"/>
  <c r="G40" i="52" l="1"/>
  <c r="E46" i="52"/>
  <c r="E52" i="52"/>
  <c r="G52" i="52" s="1"/>
  <c r="L81" i="54"/>
  <c r="L84" i="54" s="1"/>
  <c r="E115" i="72"/>
  <c r="J143" i="72"/>
  <c r="V132" i="72"/>
  <c r="J160" i="72" s="1"/>
  <c r="H132" i="72"/>
  <c r="J146" i="72" s="1"/>
  <c r="I132" i="72"/>
  <c r="J147" i="72" s="1"/>
  <c r="R132" i="72"/>
  <c r="J156" i="72" s="1"/>
  <c r="P132" i="72"/>
  <c r="J154" i="72" s="1"/>
  <c r="S132" i="72"/>
  <c r="J157" i="72" s="1"/>
  <c r="Q132" i="72"/>
  <c r="J155" i="72" s="1"/>
  <c r="T132" i="72"/>
  <c r="J158" i="72" s="1"/>
  <c r="O132" i="72"/>
  <c r="J153" i="72" s="1"/>
  <c r="G132" i="72"/>
  <c r="J145" i="72" s="1"/>
  <c r="L132" i="72"/>
  <c r="J150" i="72" s="1"/>
  <c r="M132" i="72"/>
  <c r="J151" i="72" s="1"/>
  <c r="N132" i="72"/>
  <c r="J152" i="72" s="1"/>
  <c r="K132" i="72"/>
  <c r="J149" i="72" s="1"/>
  <c r="U132" i="72"/>
  <c r="J132" i="72"/>
  <c r="J148" i="72" s="1"/>
  <c r="R115" i="72"/>
  <c r="K115" i="72"/>
  <c r="T115" i="72"/>
  <c r="S115" i="72"/>
  <c r="M115" i="72"/>
  <c r="F115" i="72"/>
  <c r="P115" i="72"/>
  <c r="H115" i="72"/>
  <c r="O115" i="72"/>
  <c r="U115" i="72"/>
  <c r="J115" i="72"/>
  <c r="I115" i="72"/>
  <c r="V115" i="72"/>
  <c r="G115" i="72"/>
  <c r="Q115" i="72"/>
  <c r="L115" i="72"/>
  <c r="J144" i="72"/>
  <c r="N115" i="72"/>
  <c r="F38" i="52"/>
  <c r="G38" i="52"/>
  <c r="E58" i="52" l="1"/>
  <c r="G46" i="52"/>
  <c r="G58" i="52" s="1"/>
  <c r="F46" i="52"/>
  <c r="J85" i="54"/>
  <c r="F52" i="52"/>
  <c r="K85" i="54"/>
  <c r="J159" i="72"/>
  <c r="J163" i="72" s="1"/>
  <c r="W115" i="72"/>
  <c r="P131" i="72"/>
  <c r="R131" i="72"/>
  <c r="K131" i="72"/>
  <c r="J131" i="72"/>
  <c r="L131" i="72"/>
  <c r="V131" i="72"/>
  <c r="M131" i="72"/>
  <c r="F131" i="72"/>
  <c r="H131" i="72"/>
  <c r="I131" i="72"/>
  <c r="T131" i="72"/>
  <c r="Q131" i="72"/>
  <c r="G131" i="72"/>
  <c r="O131" i="72"/>
  <c r="N131" i="72"/>
  <c r="E131" i="72"/>
  <c r="S131" i="72"/>
  <c r="U131" i="72"/>
  <c r="E209" i="52" l="1"/>
  <c r="D23" i="75" s="1"/>
  <c r="L85" i="54"/>
  <c r="F58" i="52"/>
  <c r="F209" i="52" s="1"/>
  <c r="E23" i="75" s="1"/>
  <c r="G209" i="52"/>
  <c r="F23" i="75" s="1"/>
  <c r="H113" i="54"/>
  <c r="Q163" i="72"/>
  <c r="F235" i="52" s="1"/>
  <c r="S163" i="72"/>
  <c r="F237" i="52" s="1"/>
  <c r="W131" i="72"/>
  <c r="I161" i="72" s="1"/>
  <c r="T163" i="72"/>
  <c r="F238" i="52" s="1"/>
  <c r="I159" i="72"/>
  <c r="U133" i="72"/>
  <c r="U135" i="72" s="1"/>
  <c r="I153" i="72"/>
  <c r="O133" i="72"/>
  <c r="O135" i="72" s="1"/>
  <c r="T133" i="72"/>
  <c r="T135" i="72" s="1"/>
  <c r="I158" i="72"/>
  <c r="H133" i="72"/>
  <c r="H135" i="72" s="1"/>
  <c r="I146" i="72"/>
  <c r="I150" i="72"/>
  <c r="L133" i="72"/>
  <c r="L135" i="72" s="1"/>
  <c r="I157" i="72"/>
  <c r="S133" i="72"/>
  <c r="S135" i="72" s="1"/>
  <c r="N133" i="72"/>
  <c r="N135" i="72" s="1"/>
  <c r="I152" i="72"/>
  <c r="I151" i="72"/>
  <c r="M133" i="72"/>
  <c r="M135" i="72" s="1"/>
  <c r="K133" i="72"/>
  <c r="K135" i="72" s="1"/>
  <c r="I149" i="72"/>
  <c r="P133" i="72"/>
  <c r="P135" i="72" s="1"/>
  <c r="I154" i="72"/>
  <c r="I155" i="72"/>
  <c r="Q133" i="72"/>
  <c r="Q135" i="72" s="1"/>
  <c r="I144" i="72"/>
  <c r="F133" i="72"/>
  <c r="F135" i="72" s="1"/>
  <c r="I160" i="72"/>
  <c r="V133" i="72"/>
  <c r="V135" i="72" s="1"/>
  <c r="J133" i="72"/>
  <c r="J135" i="72" s="1"/>
  <c r="I148" i="72"/>
  <c r="E133" i="72"/>
  <c r="I143" i="72"/>
  <c r="G133" i="72"/>
  <c r="G135" i="72" s="1"/>
  <c r="I145" i="72"/>
  <c r="I133" i="72"/>
  <c r="I135" i="72" s="1"/>
  <c r="I147" i="72"/>
  <c r="R133" i="72"/>
  <c r="R135" i="72" s="1"/>
  <c r="I156" i="72"/>
  <c r="I163" i="72" l="1"/>
  <c r="E135" i="72"/>
  <c r="W133" i="72"/>
  <c r="W135" i="72" s="1"/>
  <c r="K146" i="72"/>
  <c r="M70" i="52" s="1"/>
  <c r="K153" i="72"/>
  <c r="M77" i="52" s="1"/>
  <c r="K156" i="72"/>
  <c r="M80" i="52" s="1"/>
  <c r="K149" i="72"/>
  <c r="M73" i="52" s="1"/>
  <c r="K147" i="72"/>
  <c r="M71" i="52" s="1"/>
  <c r="K155" i="72"/>
  <c r="M79" i="52" s="1"/>
  <c r="K161" i="72"/>
  <c r="M85" i="52" s="1"/>
  <c r="K148" i="72"/>
  <c r="M72" i="52" s="1"/>
  <c r="K144" i="72"/>
  <c r="M68" i="52" s="1"/>
  <c r="K154" i="72"/>
  <c r="M78" i="52" s="1"/>
  <c r="K151" i="72"/>
  <c r="M75" i="52" s="1"/>
  <c r="K150" i="72"/>
  <c r="M74" i="52" s="1"/>
  <c r="K145" i="72"/>
  <c r="M69" i="52" s="1"/>
  <c r="K143" i="72"/>
  <c r="M67" i="52" s="1"/>
  <c r="K160" i="72"/>
  <c r="M84" i="52" s="1"/>
  <c r="K152" i="72"/>
  <c r="M76" i="52" s="1"/>
  <c r="K157" i="72"/>
  <c r="M81" i="52" s="1"/>
  <c r="K158" i="72"/>
  <c r="M82" i="52" s="1"/>
  <c r="K159" i="72"/>
  <c r="M83" i="52" s="1"/>
  <c r="N76" i="52" l="1"/>
  <c r="O76" i="52"/>
  <c r="T76" i="52"/>
  <c r="U76" i="52" s="1"/>
  <c r="W76" i="52" s="1"/>
  <c r="N73" i="52"/>
  <c r="T73" i="52"/>
  <c r="U73" i="52" s="1"/>
  <c r="W73" i="52" s="1"/>
  <c r="O73" i="52"/>
  <c r="N84" i="52"/>
  <c r="O84" i="52"/>
  <c r="T84" i="52"/>
  <c r="U84" i="52" s="1"/>
  <c r="W84" i="52" s="1"/>
  <c r="O85" i="52"/>
  <c r="T85" i="52"/>
  <c r="U85" i="52" s="1"/>
  <c r="W85" i="52" s="1"/>
  <c r="N85" i="52"/>
  <c r="N82" i="52"/>
  <c r="O82" i="52"/>
  <c r="T82" i="52"/>
  <c r="U82" i="52" s="1"/>
  <c r="W82" i="52" s="1"/>
  <c r="N67" i="52"/>
  <c r="O67" i="52"/>
  <c r="T67" i="52"/>
  <c r="M87" i="52"/>
  <c r="N78" i="52"/>
  <c r="T78" i="52"/>
  <c r="U78" i="52" s="1"/>
  <c r="W78" i="52" s="1"/>
  <c r="O78" i="52"/>
  <c r="N79" i="52"/>
  <c r="T79" i="52"/>
  <c r="U79" i="52" s="1"/>
  <c r="W79" i="52" s="1"/>
  <c r="O79" i="52"/>
  <c r="T77" i="52"/>
  <c r="U77" i="52" s="1"/>
  <c r="W77" i="52" s="1"/>
  <c r="N77" i="52"/>
  <c r="O77" i="52"/>
  <c r="N74" i="52"/>
  <c r="O74" i="52"/>
  <c r="T74" i="52"/>
  <c r="U74" i="52" s="1"/>
  <c r="W74" i="52" s="1"/>
  <c r="N72" i="52"/>
  <c r="T72" i="52"/>
  <c r="U72" i="52" s="1"/>
  <c r="W72" i="52" s="1"/>
  <c r="O72" i="52"/>
  <c r="N83" i="52"/>
  <c r="O83" i="52"/>
  <c r="T83" i="52"/>
  <c r="U83" i="52" s="1"/>
  <c r="W83" i="52" s="1"/>
  <c r="N75" i="52"/>
  <c r="O75" i="52"/>
  <c r="T75" i="52"/>
  <c r="U75" i="52" s="1"/>
  <c r="W75" i="52" s="1"/>
  <c r="N80" i="52"/>
  <c r="T80" i="52"/>
  <c r="U80" i="52" s="1"/>
  <c r="W80" i="52" s="1"/>
  <c r="O80" i="52"/>
  <c r="N81" i="52"/>
  <c r="O81" i="52"/>
  <c r="T81" i="52"/>
  <c r="U81" i="52" s="1"/>
  <c r="W81" i="52" s="1"/>
  <c r="O69" i="52"/>
  <c r="T69" i="52"/>
  <c r="U69" i="52" s="1"/>
  <c r="W69" i="52" s="1"/>
  <c r="N69" i="52"/>
  <c r="N68" i="52"/>
  <c r="O68" i="52"/>
  <c r="T68" i="52"/>
  <c r="U68" i="52" s="1"/>
  <c r="W68" i="52" s="1"/>
  <c r="N71" i="52"/>
  <c r="O71" i="52"/>
  <c r="T71" i="52"/>
  <c r="U71" i="52" s="1"/>
  <c r="W71" i="52" s="1"/>
  <c r="N70" i="52"/>
  <c r="T70" i="52"/>
  <c r="U70" i="52" s="1"/>
  <c r="W70" i="52" s="1"/>
  <c r="O70" i="52"/>
  <c r="K163" i="72"/>
  <c r="R163" i="72"/>
  <c r="F236" i="52" s="1"/>
  <c r="E212" i="52" l="1"/>
  <c r="D25" i="75" s="1"/>
  <c r="D34" i="75" s="1"/>
  <c r="Y84" i="52"/>
  <c r="V69" i="52"/>
  <c r="V75" i="52"/>
  <c r="V71" i="52"/>
  <c r="V74" i="52"/>
  <c r="V82" i="52"/>
  <c r="V85" i="52"/>
  <c r="V76" i="52"/>
  <c r="V68" i="52"/>
  <c r="N87" i="52"/>
  <c r="F212" i="52" s="1"/>
  <c r="V81" i="52"/>
  <c r="V80" i="52"/>
  <c r="V77" i="52"/>
  <c r="T87" i="52"/>
  <c r="U67" i="52"/>
  <c r="W67" i="52" s="1"/>
  <c r="V79" i="52"/>
  <c r="V70" i="52"/>
  <c r="V83" i="52"/>
  <c r="V72" i="52"/>
  <c r="V78" i="52"/>
  <c r="O87" i="52"/>
  <c r="G212" i="52" s="1"/>
  <c r="V84" i="52"/>
  <c r="V73" i="52"/>
  <c r="G87" i="52"/>
  <c r="G211" i="52" l="1"/>
  <c r="G219" i="52" s="1"/>
  <c r="W87" i="52"/>
  <c r="V67" i="52"/>
  <c r="V87" i="52" s="1"/>
  <c r="U87" i="52"/>
  <c r="F87" i="52"/>
  <c r="Y85" i="52" l="1"/>
  <c r="Y86" i="52"/>
  <c r="Y87" i="52"/>
  <c r="F25" i="75"/>
  <c r="F34" i="75" s="1"/>
  <c r="F211" i="52"/>
  <c r="E25" i="75" s="1"/>
  <c r="E34" i="75" s="1"/>
  <c r="E219" i="52"/>
  <c r="F219" i="52" l="1"/>
  <c r="F6" i="75"/>
  <c r="C51" i="75" s="1"/>
  <c r="C49" i="75"/>
  <c r="D6" i="75"/>
  <c r="C45" i="75" s="1"/>
  <c r="C43" i="75"/>
  <c r="E6" i="75" l="1"/>
  <c r="C48" i="75" s="1"/>
  <c r="C46" i="75"/>
</calcChain>
</file>

<file path=xl/sharedStrings.xml><?xml version="1.0" encoding="utf-8"?>
<sst xmlns="http://schemas.openxmlformats.org/spreadsheetml/2006/main" count="3256" uniqueCount="1054">
  <si>
    <t>Description</t>
  </si>
  <si>
    <t>Unit</t>
  </si>
  <si>
    <t>$</t>
  </si>
  <si>
    <t>Source</t>
  </si>
  <si>
    <t>miles per gallon</t>
  </si>
  <si>
    <t>Total</t>
  </si>
  <si>
    <t>Website</t>
  </si>
  <si>
    <t>Year</t>
  </si>
  <si>
    <t>$/person-hr</t>
  </si>
  <si>
    <t>Maintenance Costs and Cost Saving Assumptions</t>
  </si>
  <si>
    <t>Estimated</t>
  </si>
  <si>
    <t>$/person</t>
  </si>
  <si>
    <t>Value of Travel Time Assumptions</t>
  </si>
  <si>
    <t>$/veh-mile</t>
  </si>
  <si>
    <t>http://www.fhwa.dot.gov/policy/hcas/addendum.htm</t>
  </si>
  <si>
    <t>Value (Source)</t>
  </si>
  <si>
    <t xml:space="preserve"> - Value of Truck Driver Travel Time</t>
  </si>
  <si>
    <t xml:space="preserve"> - Fatal Accident Cost</t>
  </si>
  <si>
    <t>Analysis Discount Rates</t>
  </si>
  <si>
    <t xml:space="preserve"> - Discount Rate 1</t>
  </si>
  <si>
    <t xml:space="preserve"> - Discount Rate 2</t>
  </si>
  <si>
    <t xml:space="preserve"> - VOC Emissions Damage Cost</t>
  </si>
  <si>
    <t xml:space="preserve"> - NOx Emissions Damage Cost</t>
  </si>
  <si>
    <t xml:space="preserve"> - PM Emissions Damage Cost</t>
  </si>
  <si>
    <t xml:space="preserve"> - SOx Emissions Damage Cost</t>
  </si>
  <si>
    <t>Benefit Estimates</t>
  </si>
  <si>
    <t>Rates - Single</t>
  </si>
  <si>
    <t>Fuel Efficiency and Emissions Cost Assumptions</t>
  </si>
  <si>
    <t>Job Increase Assumptions</t>
  </si>
  <si>
    <t>$/veh</t>
  </si>
  <si>
    <t>$/job-year</t>
  </si>
  <si>
    <t xml:space="preserve"> - Dollars to be spent for creating 1 job-year</t>
  </si>
  <si>
    <t>job-years</t>
  </si>
  <si>
    <t>CO</t>
  </si>
  <si>
    <t xml:space="preserve"> - Undiscounted Project Cost (Excl. Maintenance)</t>
  </si>
  <si>
    <t xml:space="preserve">The Benefit Cost (B/C) spreadsheet provided is broken down into several tabs to make it easy to understand the assumptions that were made to calculate costs and benefits.  Below follows a brief description of the intent of each tab. </t>
  </si>
  <si>
    <t>This is the first of two tabs that describe the final results of the Benefit-Cost Analysis.  This sheet takes all of the benefits/costs into account and discounts the value of yearly benefits at 3 percent.  Key values presented in this sheet include:</t>
  </si>
  <si>
    <t>Benefit-Cost Analysis at 7%</t>
  </si>
  <si>
    <t>This tab provides an overview of the total project costs that will be incurred over the life of the project, both including and excluding maintenance.  Costs are presented without discounting.</t>
  </si>
  <si>
    <t>Benefits Summary</t>
  </si>
  <si>
    <t>Benefit-Cost Analysis at 3%</t>
  </si>
  <si>
    <t>(1) Analysis Discount Rates</t>
  </si>
  <si>
    <t>(2) Maintenance Costs and Cost Savings Assumptions</t>
  </si>
  <si>
    <t>(3) Value of Travel Time Assumptions</t>
  </si>
  <si>
    <t>(6) Job Increase Assumptions</t>
  </si>
  <si>
    <t>F. Job Creation</t>
  </si>
  <si>
    <t>jobs</t>
  </si>
  <si>
    <t>About the B/C Assessment Spreadsheet Tabs</t>
  </si>
  <si>
    <t xml:space="preserve"> - Fuel Efficiency of Light-Duty Vehicles</t>
  </si>
  <si>
    <t xml:space="preserve"> - Fuel Efficiency of Heavy-Duty Vehicles</t>
  </si>
  <si>
    <t xml:space="preserve"> - Idling Fuel Consumption Rate of Light-Duty Vehicles</t>
  </si>
  <si>
    <t xml:space="preserve"> - Idling Fuel Consumption Rate of Heavy-Duty Vehicles</t>
  </si>
  <si>
    <t xml:space="preserve"> - Government Dollars to be spent for creating 1 short-term job-year</t>
  </si>
  <si>
    <t>Annual</t>
  </si>
  <si>
    <t>gal/hr</t>
  </si>
  <si>
    <t>Average Value; Argonne National Laboratory, How Much Could You Save By Idling Less?</t>
  </si>
  <si>
    <t xml:space="preserve"> http://www.transportation.anl.gov/pdfs/TA/361.pdf</t>
  </si>
  <si>
    <t>US Department of Energy</t>
  </si>
  <si>
    <t>TRUCKS</t>
  </si>
  <si>
    <t>g/mile</t>
  </si>
  <si>
    <t>PM</t>
  </si>
  <si>
    <t>NOx</t>
  </si>
  <si>
    <t>VOC</t>
  </si>
  <si>
    <t>U.S. Department Of Labor, Bureau of Labor Statistics, Washington, D.C. 20212</t>
  </si>
  <si>
    <t xml:space="preserve"> - Undiscounted Project Cost (Incl. Maintenance)</t>
  </si>
  <si>
    <t>About this Spreadsheet</t>
  </si>
  <si>
    <t>Rates and Assumptions Used</t>
  </si>
  <si>
    <t xml:space="preserve">Same as above, but the discount factor applied to benefits/costs is 7 percent instead. </t>
  </si>
  <si>
    <t xml:space="preserve"> - Increase in Short-Term Job-Years due to Project during Development and Construction</t>
  </si>
  <si>
    <t xml:space="preserve"> - Increase in Short-Term Job-Years due to Project during Development, Construction and Maintenance</t>
  </si>
  <si>
    <t xml:space="preserve"> - Average # of Short-Term Jobs Created in a Year due to Project during Development and Construction</t>
  </si>
  <si>
    <t>Personal</t>
  </si>
  <si>
    <t>Business</t>
  </si>
  <si>
    <t>All Purposes</t>
  </si>
  <si>
    <t xml:space="preserve"> - Value of Local Traveler Time (Surface Modes)</t>
  </si>
  <si>
    <t xml:space="preserve"> - Value of Intercity Traveler Time (Surface Modes)</t>
  </si>
  <si>
    <t>Consumer Price Index - All Urban Consumers</t>
  </si>
  <si>
    <t>Original Data Value</t>
  </si>
  <si>
    <t>Series Id:</t>
  </si>
  <si>
    <t>Not Seasonally Adjusted</t>
  </si>
  <si>
    <t>Area:</t>
  </si>
  <si>
    <t>Item:</t>
  </si>
  <si>
    <t>All items</t>
  </si>
  <si>
    <t>Base Period:</t>
  </si>
  <si>
    <t>1982-84=100</t>
  </si>
  <si>
    <t>Years:</t>
  </si>
  <si>
    <t>Annual Changes</t>
  </si>
  <si>
    <t>http://data.bls.gov/pdq/SurveyOutputServlet</t>
  </si>
  <si>
    <t>Historical CPI</t>
  </si>
  <si>
    <t>Value (in 2015)</t>
  </si>
  <si>
    <t>http://www.bls.gov/data/</t>
  </si>
  <si>
    <t>Average Vehicle Occupancy (AVO)</t>
  </si>
  <si>
    <t>Value of Time (VOT)</t>
  </si>
  <si>
    <t>N/A</t>
  </si>
  <si>
    <t>http://www.fhwa.dot.gov/policyinformation/statistics/2014/vm1.cfm</t>
  </si>
  <si>
    <t>FHWA Highway Statistics 2014, Table VM-1 (December 2015)</t>
  </si>
  <si>
    <t>LDGV</t>
  </si>
  <si>
    <t>LDGT</t>
  </si>
  <si>
    <t>HDGV</t>
  </si>
  <si>
    <t>LDDV</t>
  </si>
  <si>
    <t>LDDT</t>
  </si>
  <si>
    <t>HDDV</t>
  </si>
  <si>
    <t>MC</t>
  </si>
  <si>
    <t>THC</t>
  </si>
  <si>
    <r>
      <t>PM</t>
    </r>
    <r>
      <rPr>
        <vertAlign val="subscript"/>
        <sz val="10"/>
        <color theme="1"/>
        <rFont val="Calibri"/>
        <family val="2"/>
        <scheme val="minor"/>
      </rPr>
      <t>2.5</t>
    </r>
  </si>
  <si>
    <r>
      <t>PM</t>
    </r>
    <r>
      <rPr>
        <vertAlign val="subscript"/>
        <sz val="11"/>
        <color theme="1"/>
        <rFont val="Calibri"/>
        <family val="2"/>
        <scheme val="minor"/>
      </rPr>
      <t>10</t>
    </r>
  </si>
  <si>
    <t>LDGV: Light-duty gasoline-fueled vehicles</t>
  </si>
  <si>
    <t>LDGT: Light-duty gasoline-fueled trucks</t>
  </si>
  <si>
    <t>HDGV: Heavy-duty gasoline-fueled vehicles</t>
  </si>
  <si>
    <t>LDDV: Light-duty diesel-fueled vehicles</t>
  </si>
  <si>
    <t>HDDV: Heavy-duty diesel-fueled vehicles</t>
  </si>
  <si>
    <t>MC: Motorcicles</t>
  </si>
  <si>
    <t>LDDT: Light-duty diesel-fueled trucks</t>
  </si>
  <si>
    <t>Light-Duty Vehicles</t>
  </si>
  <si>
    <t>Heavy-Duty Vehicles</t>
  </si>
  <si>
    <r>
      <t>NO</t>
    </r>
    <r>
      <rPr>
        <vertAlign val="subscript"/>
        <sz val="11"/>
        <color theme="1"/>
        <rFont val="Calibri"/>
        <family val="2"/>
        <scheme val="minor"/>
      </rPr>
      <t>X</t>
    </r>
  </si>
  <si>
    <r>
      <t xml:space="preserve">Source: U.S. Environmental Protection Agency (EPA), Office of Transportation and Air Quality, </t>
    </r>
    <r>
      <rPr>
        <i/>
        <sz val="11"/>
        <color theme="1"/>
        <rFont val="Calibri"/>
        <family val="2"/>
        <scheme val="minor"/>
      </rPr>
      <t>Idling Vehicle Emissions for Passenger Cars, Light-Duty Trucks, and Heavy-Duty Trucks, page 4. (EPA420-F-08-025, October 2008)</t>
    </r>
  </si>
  <si>
    <t>Pollutant</t>
  </si>
  <si>
    <t>Table 1: Average Idle Emission Rates (gal/hr) by Pollutant and Vehicle Type</t>
  </si>
  <si>
    <t>U.S. Environmental Protection Agency (EPA), Office of Transportation and Air Quality, Idling Vehicle Emissions for Passenger Cars, Light-Duty Trucks, and Heavy-Duty Trucks, page 4. (EPA420-F-08-025, October 2008)</t>
  </si>
  <si>
    <t>https://www3.epa.gov/otaq/consumer/420f08025.pdf</t>
  </si>
  <si>
    <t>Idling Emission Rates of Light-Duty Vehicles</t>
  </si>
  <si>
    <t>Idling Emission Rates of Heavy-Duty Vehicles</t>
  </si>
  <si>
    <t>HDGV (gasoline) in grams/mile</t>
  </si>
  <si>
    <t>HDDV (diesel) in grams/mile</t>
  </si>
  <si>
    <r>
      <t>PM</t>
    </r>
    <r>
      <rPr>
        <vertAlign val="subscript"/>
        <sz val="11"/>
        <color theme="1"/>
        <rFont val="Calibri"/>
        <family val="2"/>
        <scheme val="minor"/>
      </rPr>
      <t>2.5</t>
    </r>
  </si>
  <si>
    <r>
      <t>CO</t>
    </r>
    <r>
      <rPr>
        <vertAlign val="subscript"/>
        <sz val="11"/>
        <color theme="1"/>
        <rFont val="Calibri"/>
        <family val="2"/>
        <scheme val="minor"/>
      </rPr>
      <t>2</t>
    </r>
  </si>
  <si>
    <t xml:space="preserve">Passenger Cars </t>
  </si>
  <si>
    <t xml:space="preserve">Light-Duty Trucks </t>
  </si>
  <si>
    <r>
      <t xml:space="preserve">Source: U.S. Environmental Protection Agency (EPA), Office of Transportation and Air Quality, </t>
    </r>
    <r>
      <rPr>
        <i/>
        <sz val="11"/>
        <color theme="1"/>
        <rFont val="Calibri"/>
        <family val="2"/>
        <scheme val="minor"/>
      </rPr>
      <t xml:space="preserve">Average In-Use Emissions from Heavy-Duty Trucks </t>
    </r>
    <r>
      <rPr>
        <sz val="11"/>
        <color theme="1"/>
        <rFont val="Calibri"/>
        <family val="2"/>
        <scheme val="minor"/>
      </rPr>
      <t>(EPA420-F-08-027 October 2008)</t>
    </r>
  </si>
  <si>
    <t>Source: U.S. Environmental Protection Agency (EPA), Office of Transportation and Air Quality, Average Annual Emissions and Fuel Consumption for Gasoline-Fueled Passenger Cars and Light Trucks, pages 4-5 (EPA420-F-08-024, October 2008).</t>
  </si>
  <si>
    <t>Average Emissions (in grams/mile)  for Passenger Cars and Light Duty Trucks</t>
  </si>
  <si>
    <t>Average Emissions (in grams/mile) or Heavy-Duty Trucks (per mile driven)</t>
  </si>
  <si>
    <t>https://www3.epa.gov/otaq/consumer/420f08024.pdf</t>
  </si>
  <si>
    <t>https://www3.epa.gov/otaq/consumer/420f08027.pdf</t>
  </si>
  <si>
    <t>PMs</t>
  </si>
  <si>
    <t>U.S. Environmental Protection Agency (EPA), Office of Transportation and Air Quality, Average Annual Emissions and Fuel Consumption for Gasoline-Fueled Passenger Cars and Light Trucks, pages 4-5 (EPA420-F-08-024, October 2008).</t>
  </si>
  <si>
    <t xml:space="preserve">Estimated Average Idle Emission Rates (gal/hr) by Pollutant and Vehicle Type </t>
  </si>
  <si>
    <t xml:space="preserve">Estimated Average </t>
  </si>
  <si>
    <t>Source: U.S. Environmental Protection Agency (EPA), Office of Transportation and Air Quality, Average In-Use Emissions from Heavy-Duty Trucks (EPA420-F-08-027 October 2008)</t>
  </si>
  <si>
    <t>Truck</t>
  </si>
  <si>
    <t>Average Emission Rates of Light-Duty Vehicles</t>
  </si>
  <si>
    <t>Average Emission Rates of Heavy-Duty Vehicles</t>
  </si>
  <si>
    <t>Damage Costs</t>
  </si>
  <si>
    <t>Value (Year)</t>
  </si>
  <si>
    <t xml:space="preserve"> - CO Emissions Damage Cost (3% SCC)</t>
  </si>
  <si>
    <t>$/metric ton</t>
  </si>
  <si>
    <t>$/short ton</t>
  </si>
  <si>
    <t>Guidance on Treatment of the Economic Value of a Statistical Life in U.S. Department of Transportation Analyses (2016)</t>
  </si>
  <si>
    <t>http://www.dot.gov/office-policy/transportation-policy/guidance-treatment-economic-value-statistical-life</t>
  </si>
  <si>
    <t>Recommended Monetized Value(s)</t>
  </si>
  <si>
    <t>Reference and Notes</t>
  </si>
  <si>
    <t>By Abbreviated Injury Scale (AIS) Severity</t>
  </si>
  <si>
    <t>Guidance on Treatment of the Economic Value of a Statistical Life in U.S. Department of Transportation Analyses (2016 )</t>
  </si>
  <si>
    <t>AIS Level</t>
  </si>
  <si>
    <t>Severity</t>
  </si>
  <si>
    <t>Fraction of VSL</t>
  </si>
  <si>
    <t>Unit Value (in 2015$)</t>
  </si>
  <si>
    <t>AIS 1</t>
  </si>
  <si>
    <t>Minor</t>
  </si>
  <si>
    <t>AIS 2</t>
  </si>
  <si>
    <t>Moderate</t>
  </si>
  <si>
    <t>NOTE: Accident data (particularly those provided through law enforcement records) are typically reported as a single number (e.g. “X number of crashes in Year Y”) and/or on the KABCO scale of crash severity. Applicants should convert these values to the AIS scale before applying the recommended monetized values. See Part II Section 3 (“Converting Available Accident Data into AIS Data”).</t>
  </si>
  <si>
    <t>AIS 3</t>
  </si>
  <si>
    <t>Serious</t>
  </si>
  <si>
    <t>AIS 4</t>
  </si>
  <si>
    <t>Severe</t>
  </si>
  <si>
    <t>AIS 5</t>
  </si>
  <si>
    <t>Critical</t>
  </si>
  <si>
    <t>AIS 6</t>
  </si>
  <si>
    <t>Fatal</t>
  </si>
  <si>
    <t>Table 3. Comparison of Injury Severity Scales (KABCO vs AIS vs Unknown)</t>
  </si>
  <si>
    <t>Reported Accidents</t>
  </si>
  <si>
    <t xml:space="preserve">Reported Accidents </t>
  </si>
  <si>
    <t xml:space="preserve"> (KABCO or # Accidents Reported)</t>
  </si>
  <si>
    <t>(AIS)</t>
  </si>
  <si>
    <t>O</t>
  </si>
  <si>
    <t>No injury</t>
  </si>
  <si>
    <t>C</t>
  </si>
  <si>
    <t>Possible Injury</t>
  </si>
  <si>
    <t>B</t>
  </si>
  <si>
    <t>Non-incapacitating</t>
  </si>
  <si>
    <t>A</t>
  </si>
  <si>
    <t>Incapacitating</t>
  </si>
  <si>
    <t>K</t>
  </si>
  <si>
    <t>Killed</t>
  </si>
  <si>
    <t>U</t>
  </si>
  <si>
    <t>Injured (Severity Unknown)</t>
  </si>
  <si>
    <t># Accident Reported</t>
  </si>
  <si>
    <t>Unknown if Injured</t>
  </si>
  <si>
    <t>Unsurvivable</t>
  </si>
  <si>
    <t>Table 4. KABCO/Unknown – AIS Data Conversion Matrix</t>
  </si>
  <si>
    <t>AIS</t>
  </si>
  <si>
    <t># Non-fatal Accidents</t>
  </si>
  <si>
    <t>Sum (Prob)</t>
  </si>
  <si>
    <t># of Accidents Reported on the KABCO scale =</t>
  </si>
  <si>
    <t>AIS 0</t>
  </si>
  <si>
    <t>SUBTOTAL  =</t>
  </si>
  <si>
    <t>No Injury</t>
  </si>
  <si>
    <t xml:space="preserve">Monetized Value of Reported KABCO-scaled Accidents </t>
  </si>
  <si>
    <t>-  Accident Cost (Incapaciting Injury)</t>
  </si>
  <si>
    <t>-  Accident Cost (Non-Incapaciting Injury)</t>
  </si>
  <si>
    <t>-  Accident Cost (Possible Injury)</t>
  </si>
  <si>
    <t xml:space="preserve"> - Accident Cost (Injured Severity Unknown)</t>
  </si>
  <si>
    <t>Operating Cost</t>
  </si>
  <si>
    <t>Small Sedan</t>
  </si>
  <si>
    <t>Medium Sedan</t>
  </si>
  <si>
    <t>Large Sedan</t>
  </si>
  <si>
    <t>Total =</t>
  </si>
  <si>
    <t>4WD Sport Utility Vehicle</t>
  </si>
  <si>
    <t>Minivan</t>
  </si>
  <si>
    <t>CAGR</t>
  </si>
  <si>
    <t>Fuel Costs</t>
  </si>
  <si>
    <t>Truck/Trailer Lease or Purchase Payments</t>
  </si>
  <si>
    <t>Repair &amp; Maintenance</t>
  </si>
  <si>
    <t>Truck Insurance Premiums</t>
  </si>
  <si>
    <t>Permits and Licenses</t>
  </si>
  <si>
    <t>Tires</t>
  </si>
  <si>
    <t>Tolls</t>
  </si>
  <si>
    <t>Nationwide</t>
  </si>
  <si>
    <t>Source:</t>
  </si>
  <si>
    <t>http://www.eia.gov/forecasts/steo/</t>
  </si>
  <si>
    <t>Per the US Energy Information Administration (https://www.eia.gov/dnav/pet/PET_PRI_GND_DCUS_NUS_W.htm)</t>
  </si>
  <si>
    <t>Retail Price of Gasoline All Grades (National, $/gal)</t>
  </si>
  <si>
    <t>1995-2015</t>
  </si>
  <si>
    <t>2005-2015</t>
  </si>
  <si>
    <t>2005-2014</t>
  </si>
  <si>
    <t>Retail Price of Diesel (on-highway) All Types (National, $/gal)</t>
  </si>
  <si>
    <t>Miles per Year</t>
  </si>
  <si>
    <t>Sedan (Composite Average)</t>
  </si>
  <si>
    <t>Auto Type</t>
  </si>
  <si>
    <t>Auto (Average)</t>
  </si>
  <si>
    <t>AUTOS</t>
  </si>
  <si>
    <t>http://exchange.aaa.com/automobiles-travel/automobiles/driving-costs/</t>
  </si>
  <si>
    <t>Over the last 20 years gas prices have gone up about 4% (1995-2015), but over the last 10 years  (2005-2014) it has only been about 1% (because of the recent big drop in prices).  If we take out 2015, then the increase from 2005 to 2014 is 4.5%.  Similar trends for diesel prices.</t>
  </si>
  <si>
    <t>Retail Prices of Gasoline and Diesel, Nationwide ($/gal)</t>
  </si>
  <si>
    <t xml:space="preserve"> - MAIS 0 (No Injury), Fraction of VLS</t>
  </si>
  <si>
    <t xml:space="preserve"> - MAIS 1 (Minor Severity), Fraction of VLS</t>
  </si>
  <si>
    <t xml:space="preserve"> - MAIS 2 (Moderate Severity), Fraction of VLS</t>
  </si>
  <si>
    <t xml:space="preserve"> - MAIS 3 (Serious Severity), Fraction of VLS</t>
  </si>
  <si>
    <t xml:space="preserve"> - MAIS 4 (Severe Severity), Fraction of VLS</t>
  </si>
  <si>
    <t xml:space="preserve"> - MAIS 5 (Critical Severity), Fraction of VLS</t>
  </si>
  <si>
    <t xml:space="preserve"> - MAIS 6 (Not Survivable), Fraction of VLS</t>
  </si>
  <si>
    <t xml:space="preserve"> - MAIS 0 (No Injury)</t>
  </si>
  <si>
    <t xml:space="preserve"> - MAIS 1 (Minor Severity)</t>
  </si>
  <si>
    <t xml:space="preserve"> - MAIS 2 (Moderate Severity)</t>
  </si>
  <si>
    <t xml:space="preserve"> - MAIS 3 (Serious Severity)</t>
  </si>
  <si>
    <t xml:space="preserve"> - MAIS 4 (Severe Severity)</t>
  </si>
  <si>
    <t xml:space="preserve"> - MAIS 5 (Critical Severity)</t>
  </si>
  <si>
    <t xml:space="preserve"> - MAIS 6 (Not Survivable)</t>
  </si>
  <si>
    <t>Maximum Abreviated Injured Scale (MAIS)</t>
  </si>
  <si>
    <t>Vehicle Class/Highway Class</t>
  </si>
  <si>
    <t>Autos/Rural Interstate</t>
  </si>
  <si>
    <t>Autos/Urban Interstate</t>
  </si>
  <si>
    <t>40 kip 4-axle S.U. Truck/Rural Interstate</t>
  </si>
  <si>
    <t>40 kip 4-axle S.U. Truck/Urban Interstate</t>
  </si>
  <si>
    <t>60 kip 4-axle S.U. Truck/Rural Interstate</t>
  </si>
  <si>
    <t>60 kip 4-axle S.U. Truck/Urban Interstate</t>
  </si>
  <si>
    <t>60 kip 5-axle Comb/Rural Interstate</t>
  </si>
  <si>
    <t>60 kip 5-axle Comb/Urban Interstate</t>
  </si>
  <si>
    <t>80 kip 5-axle Comb/Rural Interstate</t>
  </si>
  <si>
    <t>80 kip 5-axle Comb/Urban Interstate</t>
  </si>
  <si>
    <t xml:space="preserve"> - Marginal Public Infrastructure Cost (pavement cost)</t>
  </si>
  <si>
    <t>Addendum to the 1997 Federal Highway Cost Allocation Study Final Report, U.S. Department of Transportation, Federal Highway Administration, May 2000. Table 13.</t>
  </si>
  <si>
    <t xml:space="preserve"> - Property Damage Only (PDO) Crashes</t>
  </si>
  <si>
    <t xml:space="preserve">- Auto, Urban </t>
  </si>
  <si>
    <t xml:space="preserve">- Truck, Urban </t>
  </si>
  <si>
    <t>Vehicle Operating Costs (VOC) Assumptions</t>
  </si>
  <si>
    <t>D</t>
  </si>
  <si>
    <t>E</t>
  </si>
  <si>
    <t>F</t>
  </si>
  <si>
    <t>G</t>
  </si>
  <si>
    <t>H</t>
  </si>
  <si>
    <t>I</t>
  </si>
  <si>
    <t>J</t>
  </si>
  <si>
    <t>Calendar Year</t>
  </si>
  <si>
    <t>CPI 2015</t>
  </si>
  <si>
    <t>Travel Time Cost Savings</t>
  </si>
  <si>
    <t>L</t>
  </si>
  <si>
    <t>M</t>
  </si>
  <si>
    <t>N</t>
  </si>
  <si>
    <t>P</t>
  </si>
  <si>
    <t>Q</t>
  </si>
  <si>
    <t>R</t>
  </si>
  <si>
    <t>S</t>
  </si>
  <si>
    <t>T</t>
  </si>
  <si>
    <t>Sources:</t>
  </si>
  <si>
    <t xml:space="preserve">Auto.Leisure </t>
  </si>
  <si>
    <t xml:space="preserve">Auto.Commute </t>
  </si>
  <si>
    <t xml:space="preserve">Auto.Business </t>
  </si>
  <si>
    <t xml:space="preserve">Changes in VHT (in hours) = VHT Build - VHT No Build </t>
  </si>
  <si>
    <t xml:space="preserve">Changes in VMT (in miles) = VMT Build - VMT No Build </t>
  </si>
  <si>
    <t>Note: Sources of unit cost for VOC are provided in the "Rates - Single" Tab</t>
  </si>
  <si>
    <t>Value of Statistical Life (VSL)</t>
  </si>
  <si>
    <t>2015 Running Emission Rates (g/mile)</t>
  </si>
  <si>
    <t>Light Duty</t>
  </si>
  <si>
    <t>Passenger Truck</t>
  </si>
  <si>
    <t>Buses</t>
  </si>
  <si>
    <t>All Trucks</t>
  </si>
  <si>
    <t>Speed (mph)</t>
  </si>
  <si>
    <t>All Rd Types</t>
  </si>
  <si>
    <t>CO2eq</t>
  </si>
  <si>
    <t>PM2.5</t>
  </si>
  <si>
    <t>SO2</t>
  </si>
  <si>
    <t>2025 Running Emission Rates (g/mile)</t>
  </si>
  <si>
    <t>2- Rural restricted access</t>
  </si>
  <si>
    <t>3-Rural unrestricted access</t>
  </si>
  <si>
    <t>4-Urban restricted access</t>
  </si>
  <si>
    <t>5-Urban unrestricted access</t>
  </si>
  <si>
    <t>Time Period</t>
  </si>
  <si>
    <t>Average Speed, No Build</t>
  </si>
  <si>
    <t>Average Speed, Build</t>
  </si>
  <si>
    <t>grams</t>
  </si>
  <si>
    <t>Note: Negative values represent cost savings and positive values represent additional costs.</t>
  </si>
  <si>
    <t>Totals =</t>
  </si>
  <si>
    <t>Note: Positive values represent additional VMT/additional VOC and negative values represent reduced VMT/VOC savings</t>
  </si>
  <si>
    <t>Note: Positive values represent additional delays/additional delay costs and negative values represent reduced delays/delay cost savings</t>
  </si>
  <si>
    <t>NOx Emission Damage Cost ($/short ton) =</t>
  </si>
  <si>
    <t>CF = 1 metric ton =</t>
  </si>
  <si>
    <t>Emissions (metric ton) = Emission Rate (g/mile) x  VMT (miles traveled/year)  x  CF (grams to metric ton)</t>
  </si>
  <si>
    <t xml:space="preserve"> Emissions (in metric ton), Internal - Internal</t>
  </si>
  <si>
    <t>Changes of VOC Emissions and their Monetary Value (in 2015$)</t>
  </si>
  <si>
    <t>Emissions (short ton) = Emission Rate (g/mile) x  VMT (miles traveled/year)  x  CF (grams to short ton)</t>
  </si>
  <si>
    <t>CF = 1 short ton =</t>
  </si>
  <si>
    <t>Note: Source(s) of unit cost for VOC emissions are provided in the "Rates - Single" Tab</t>
  </si>
  <si>
    <t>Changes of NOx Emissions and their Monetary Value (in 2015$)</t>
  </si>
  <si>
    <t>PM Emission Rates (g/mile), Build</t>
  </si>
  <si>
    <t>PM Emission Rates (g/mile), No Build</t>
  </si>
  <si>
    <t>Changes of PM Emissions and their Monetary Value (in 2015$)</t>
  </si>
  <si>
    <t>Changes in PM Emissions (in short tons) = (2) - (1)</t>
  </si>
  <si>
    <t>PM Emission Damage Cost ($/short ton) =</t>
  </si>
  <si>
    <t>Note: Source(s) of unit cost for PM emissions are provided in the "Rates - Single" Tab</t>
  </si>
  <si>
    <t xml:space="preserve"> CO Emissions Damage Cost (3% SCC)</t>
  </si>
  <si>
    <t xml:space="preserve"> VOC Emissions Damage Cost </t>
  </si>
  <si>
    <t xml:space="preserve"> NOx Emissions Damage Cost </t>
  </si>
  <si>
    <t xml:space="preserve">PM Emissions Damage Cost </t>
  </si>
  <si>
    <t>Grand Total</t>
  </si>
  <si>
    <t>Reduced/Additional Travel Time (in hours)</t>
  </si>
  <si>
    <t>Note: Negative values represent savings and positive values represent losses</t>
  </si>
  <si>
    <t>Monetary Value of Reduced/Additional VOC (in 2015$)</t>
  </si>
  <si>
    <t>Reduced/Additional Miles Traveled</t>
  </si>
  <si>
    <t>Monetary Value of Reduced/Additional Motor Vehicle Crashes (in 2015$)</t>
  </si>
  <si>
    <t>Motor Vehicle Crashes</t>
  </si>
  <si>
    <t>(a)</t>
  </si>
  <si>
    <t>(b)</t>
  </si>
  <si>
    <t>(d)</t>
  </si>
  <si>
    <t>Vehicle Class</t>
  </si>
  <si>
    <t>Trucks</t>
  </si>
  <si>
    <t>Passenger Cars</t>
  </si>
  <si>
    <t>in 2000$</t>
  </si>
  <si>
    <t>CPI 2000</t>
  </si>
  <si>
    <t>in 2015$</t>
  </si>
  <si>
    <t>http://www.fhwa.dot.gov/policy/hcas/final/five.cfm</t>
  </si>
  <si>
    <t>Source: 1997 Federal Highway Cost Allocation Study, Final Report, Table V-22</t>
  </si>
  <si>
    <t>Abbrev.</t>
  </si>
  <si>
    <t>Urban Highways (Average)</t>
  </si>
  <si>
    <t>Adapted from Table V-26. 2000 Marginal External Pavement Cost (in cents per mile)</t>
  </si>
  <si>
    <t>Estimated Marginal External Pavement Costs ( in cents per mile)</t>
  </si>
  <si>
    <t>State of Good Repair (SOGR)</t>
  </si>
  <si>
    <t>NPV of Travel Time Cost Saved/Wasted</t>
  </si>
  <si>
    <t xml:space="preserve">SOx Emissions Damage Cost </t>
  </si>
  <si>
    <t>NPV of SCC Emissions Saved/Wasted</t>
  </si>
  <si>
    <t>NPV of Vehicle Operating Cost Saved/Wasted</t>
  </si>
  <si>
    <t>NPV of Non-Carbon Emission Cost Saved/Wasted</t>
  </si>
  <si>
    <t>NPV of Noise Cost Saved/Wasted</t>
  </si>
  <si>
    <t>Note:  Updated emission rates in 2015 and 2025 estimated by CS using MOVES2014</t>
  </si>
  <si>
    <t xml:space="preserve">VOC Emissions Rates as a Funtion of Running Speeds </t>
  </si>
  <si>
    <t xml:space="preserve">PM Emissions Rates as a Funtion of Running Speeds </t>
  </si>
  <si>
    <t>Discounted at 3%</t>
  </si>
  <si>
    <t>Non-Carbon Emissions Costs</t>
  </si>
  <si>
    <t xml:space="preserve">Social Cost of Carbon (SCC) Emissions </t>
  </si>
  <si>
    <t>Motor Vehicle Crash Costs</t>
  </si>
  <si>
    <t>State of Good Repair Costs</t>
  </si>
  <si>
    <t>Travel Time Costs</t>
  </si>
  <si>
    <t>NPV of Capital Costs</t>
  </si>
  <si>
    <t>NPV of O&amp;M Costs</t>
  </si>
  <si>
    <t>NPV of Total Costs</t>
  </si>
  <si>
    <t>NPV =
[C/(1+3%)^A]</t>
  </si>
  <si>
    <t>NPV =
[C/(1+7%)^A]</t>
  </si>
  <si>
    <t>NPV =
[D/(1+3%)^A]</t>
  </si>
  <si>
    <t>NPV =
[D/(1+7%)^A]</t>
  </si>
  <si>
    <t>E + G</t>
  </si>
  <si>
    <t>F + H</t>
  </si>
  <si>
    <t>Discounted at 7%</t>
  </si>
  <si>
    <t>"Rates - Single" Tab</t>
  </si>
  <si>
    <t>Auto</t>
  </si>
  <si>
    <t>(1) Net Present Value of the Project and Benefit/Cost Ratio.</t>
  </si>
  <si>
    <t>(2) Total Project Costs and Total Project Benefits</t>
  </si>
  <si>
    <t>(3) Project Benefits Summary by benefit type</t>
  </si>
  <si>
    <t>This tab provides a summary of the project benefits.  This provides more detail than the values in the Benefit-Cost Analysis 3%/7% tabs.  Key sections include:</t>
  </si>
  <si>
    <t>(2) For each benefit category (state of good repair, economic competitiveness, livability, sustainability, safety), undiscounted and corresponding discounted benefits are calculated.</t>
  </si>
  <si>
    <t>This tab shows all of the single rates that are used in the benefit/cost analysis and were taken from well-known sources. The general categories used to classify each of the rates are:</t>
  </si>
  <si>
    <t>(4) Emissions Cost Assumptions</t>
  </si>
  <si>
    <t>(5) Accident Cost and Rates</t>
  </si>
  <si>
    <t xml:space="preserve">Auto, Commute to Work  </t>
  </si>
  <si>
    <t xml:space="preserve">Auto, Business Trips
</t>
  </si>
  <si>
    <t>Auto, All Other Purposes</t>
  </si>
  <si>
    <t>Vehicle Type, Trip Purpose</t>
  </si>
  <si>
    <t>Monetized Value of KABCO-scaled Accidents (in 2015$)</t>
  </si>
  <si>
    <t>Injured Severity Unknown</t>
  </si>
  <si>
    <t>Monetized Value of Reported KABCO-scaled Accidents (in 2015$)</t>
  </si>
  <si>
    <t>Tarrant County</t>
  </si>
  <si>
    <t>Centerline Miles</t>
  </si>
  <si>
    <t>Lane Miles</t>
  </si>
  <si>
    <t>Daily Vehicle Miles of Travel**</t>
  </si>
  <si>
    <t>Truck Vehicle Miles Traveled***</t>
  </si>
  <si>
    <t>Average DVM (2010-2014) = (a)</t>
  </si>
  <si>
    <t>Estimate Annual VMT per 100 Million Miles Traveled = (a) x 365 = (b)</t>
  </si>
  <si>
    <t>Notes:</t>
  </si>
  <si>
    <t>**All vehicles</t>
  </si>
  <si>
    <t>***Calculated as a percent of total Daily Vehicle Miles rather than the total number of trucks</t>
  </si>
  <si>
    <t>http://txdot.gov/inside-txdot/division/transportation-planning/roadway-inventory.html</t>
  </si>
  <si>
    <t xml:space="preserve">Data from 2011 to 2014 obtained from the Roadway Inventory Annual Reports 2011, 2012, 2013 and 2014 prepared by TxDOT. </t>
  </si>
  <si>
    <t>Available at http://txdot.gov/inside-txdot/division/transportation-planning/roadway-inventory.html</t>
  </si>
  <si>
    <r>
      <t xml:space="preserve">Data for year 2010 obtained from </t>
    </r>
    <r>
      <rPr>
        <i/>
        <sz val="11"/>
        <color theme="1"/>
        <rFont val="Calibri"/>
        <family val="2"/>
        <scheme val="minor"/>
      </rPr>
      <t>Support for the Metropolitan Transportation Plan Update</t>
    </r>
    <r>
      <rPr>
        <sz val="11"/>
        <color theme="1"/>
        <rFont val="Calibri"/>
        <family val="2"/>
        <scheme val="minor"/>
      </rPr>
      <t>, presentation prepared by Parson Brickenhord for the MPO San Antonio-Bexar County Metropolitan Planning Organization (MPO).</t>
    </r>
  </si>
  <si>
    <t>Available at http://www.alamoareampo.org/Committees/TPB/Archives/FY2014/February%202014/MTP%20Update%20Process.pdf</t>
  </si>
  <si>
    <t>Fatal Crashes</t>
  </si>
  <si>
    <t>Fatalities</t>
  </si>
  <si>
    <t>Incapacitating Crashes</t>
  </si>
  <si>
    <t>Incapacitating Injuries</t>
  </si>
  <si>
    <t>Non-Incapacitating Crashes</t>
  </si>
  <si>
    <t>Non-Incapacitating Injuries</t>
  </si>
  <si>
    <t>Possible Injury Crashes</t>
  </si>
  <si>
    <t>Possible Injuries</t>
  </si>
  <si>
    <t>Non-Injury Crashes</t>
  </si>
  <si>
    <t>Non-Injuries</t>
  </si>
  <si>
    <t>Unknown Severity Crashes</t>
  </si>
  <si>
    <t>Unknown Injuries</t>
  </si>
  <si>
    <t>Total Crashes</t>
  </si>
  <si>
    <t>Annual Average = (c )</t>
  </si>
  <si>
    <t>Texas Motor Vehicle Crash Statistics - 2010, http://www.txdot.gov/government/enforcement/annual-summary/2010.html</t>
  </si>
  <si>
    <t>Texas Motor Vehicle Crash Statistics - 2011, http://www.txdot.gov/government/enforcement/annual-summary/2011.html</t>
  </si>
  <si>
    <t>Texas Motor Vehicle Crash Statistics - 2012, http://www.txdot.gov/government/enforcement/annual-summary/2012.html</t>
  </si>
  <si>
    <t>Texas Motor Vehicle Crash Statistics - 2013, http://www.txdot.gov/government/enforcement/annual-summary/2013.html</t>
  </si>
  <si>
    <t>Texas Motor Vehicle Crash Statistics - 2014, http://www.txdot.gov/government/enforcement/annual-summary/2014.html</t>
  </si>
  <si>
    <t xml:space="preserve">Estimated Tarrant County Crash Rates (per 100 Million Vehicle Mile) </t>
  </si>
  <si>
    <t>PDO</t>
  </si>
  <si>
    <t>Rates (per 100 Million Vehicle Mile) = (c )/(b) = (d)</t>
  </si>
  <si>
    <t>No-Build Condition</t>
  </si>
  <si>
    <t>Motor Vehicle Crashes in Similar Segments on IH-35 (1/2 mile)</t>
  </si>
  <si>
    <t>CAGR (2019-2039)</t>
  </si>
  <si>
    <t xml:space="preserve">Average (2011-2015) </t>
  </si>
  <si>
    <t xml:space="preserve">Estimated Motor Vehicle Crash Rates (per 100 Million Vehicle Mile) </t>
  </si>
  <si>
    <t>Incapacitating In juries</t>
  </si>
  <si>
    <t>Estimated Fatalities/Injuries = (a)</t>
  </si>
  <si>
    <t xml:space="preserve">Rates (per 100 Million Vehicle Mile) = (a)/(b) </t>
  </si>
  <si>
    <t>Build Condition</t>
  </si>
  <si>
    <t>Discount Rate =</t>
  </si>
  <si>
    <t>Project Year</t>
  </si>
  <si>
    <t>Project Support</t>
  </si>
  <si>
    <t>ROW</t>
  </si>
  <si>
    <t>https://www.transportation.gov/fastlanegrants/bca-resource-guide</t>
  </si>
  <si>
    <t xml:space="preserve">Notes: (1) VOC per mile derived from a popular model of each type listed assuming ownership of more than 5 years or 75,000 miles before replacement. (2) VOC per mile includes costs for fuel, maintenance, tires, full-coverage insurance, fees (license, registration and taxes), depreciation, and financing. </t>
  </si>
  <si>
    <r>
      <t xml:space="preserve">Data Source: American Automobile Association (AAA). </t>
    </r>
    <r>
      <rPr>
        <i/>
        <sz val="10"/>
        <color theme="1"/>
        <rFont val="Arial"/>
        <family val="2"/>
      </rPr>
      <t>Your Driving Costs, 2016 Edition</t>
    </r>
    <r>
      <rPr>
        <sz val="10"/>
        <color theme="1"/>
        <rFont val="Arial"/>
        <family val="2"/>
      </rPr>
      <t>. Available at http://exchange.aaa.com/automobiles-travel/automobiles/driving-costs/</t>
    </r>
  </si>
  <si>
    <t>Driving costs (cents per mile), 2015</t>
  </si>
  <si>
    <t>Average Marginal VOC per mile for the Southeast Region, 2015</t>
  </si>
  <si>
    <r>
      <t xml:space="preserve">Source: </t>
    </r>
    <r>
      <rPr>
        <i/>
        <sz val="11"/>
        <color theme="1"/>
        <rFont val="Arial"/>
        <family val="2"/>
      </rPr>
      <t>An Analysis of the Operational Costs of Trucking: 2016 Update</t>
    </r>
    <r>
      <rPr>
        <sz val="11"/>
        <color theme="1"/>
        <rFont val="Arial"/>
        <family val="2"/>
      </rPr>
      <t xml:space="preserve"> (ATRI, September 2016), Table 18, p. 29</t>
    </r>
  </si>
  <si>
    <r>
      <t xml:space="preserve">Estimated by CS based on vehicle operating costs provided by ATRI, </t>
    </r>
    <r>
      <rPr>
        <b/>
        <i/>
        <sz val="10"/>
        <color theme="1"/>
        <rFont val="Arial"/>
        <family val="2"/>
      </rPr>
      <t>An Analysis of the Operational Costs of Trucking: 2016 Update</t>
    </r>
    <r>
      <rPr>
        <b/>
        <sz val="10"/>
        <color theme="1"/>
        <rFont val="Arial"/>
        <family val="2"/>
      </rPr>
      <t xml:space="preserve"> (Sep 2016), Table 18, p. 29. See computations in "VOC" tab.</t>
    </r>
  </si>
  <si>
    <t>http://atri-online.org/2016/09/26/an-analysis-of-the-operational-costs-of-trucking-2016-update/</t>
  </si>
  <si>
    <t>https://www.transportation.gov/office-policy/transportation-policy/2016-vsl-guidance</t>
  </si>
  <si>
    <t xml:space="preserve">VMT Auto, Commute to Work  </t>
  </si>
  <si>
    <t>VMT Auto, Business Trips</t>
  </si>
  <si>
    <t>VMT Auto, All Other Purposes</t>
  </si>
  <si>
    <t>VMT Trucks</t>
  </si>
  <si>
    <t>VMT Total</t>
  </si>
  <si>
    <t>VHT Total</t>
  </si>
  <si>
    <t>VMT Changes</t>
  </si>
  <si>
    <t>Auto, Business Trips</t>
  </si>
  <si>
    <t>Autos</t>
  </si>
  <si>
    <t xml:space="preserve">All Autos, All Purposes </t>
  </si>
  <si>
    <t xml:space="preserve">Changes in VMT (in miles) = </t>
  </si>
  <si>
    <t>(c)</t>
  </si>
  <si>
    <t>(e )</t>
  </si>
  <si>
    <t>(f)</t>
  </si>
  <si>
    <t xml:space="preserve">(a) + (c ) + (e) </t>
  </si>
  <si>
    <t xml:space="preserve">(b) + (d ) + (f) </t>
  </si>
  <si>
    <t>Monetary Value (in 2015$) =</t>
  </si>
  <si>
    <t>(g)</t>
  </si>
  <si>
    <t>(h)</t>
  </si>
  <si>
    <t>Annual VMT Changes</t>
  </si>
  <si>
    <t>Annual VHT Changes</t>
  </si>
  <si>
    <t>Vehicle Type, Land Use</t>
  </si>
  <si>
    <t>TMPC</t>
  </si>
  <si>
    <t>AMPC</t>
  </si>
  <si>
    <t xml:space="preserve">Monetary Value (in 2015$) = AMPC x Changes in VMT </t>
  </si>
  <si>
    <t>Travel Time Changes (in hours)</t>
  </si>
  <si>
    <t>(a) + (c ) + (e) + (g)</t>
  </si>
  <si>
    <t>(b) + (d ) + (f) + (h)</t>
  </si>
  <si>
    <t>AVOC</t>
  </si>
  <si>
    <t>TVOC</t>
  </si>
  <si>
    <t>VOC Changes (in 2015$)</t>
  </si>
  <si>
    <t xml:space="preserve">VMT Changes </t>
  </si>
  <si>
    <t>VMT, No Build</t>
  </si>
  <si>
    <t>VMT, Build</t>
  </si>
  <si>
    <t>Check!</t>
  </si>
  <si>
    <t>VOC Emissions (in short ton), No Build = (1)</t>
  </si>
  <si>
    <t>VOC Emissions (in short ton), Build = (2)</t>
  </si>
  <si>
    <t>Changes in  VOC Emissions (in short ton) = (2) - (1)</t>
  </si>
  <si>
    <t>VOC Emission Damage Cost ($/short ton) =</t>
  </si>
  <si>
    <t>PM Emissions (in short ton), No Build = (1)</t>
  </si>
  <si>
    <t>PM Emissions (in short ton), Build = (2)</t>
  </si>
  <si>
    <t>Average (2011-2015) (a)</t>
  </si>
  <si>
    <t>No Build</t>
  </si>
  <si>
    <t>Build</t>
  </si>
  <si>
    <t>Note: (1) Source of unit cost for traffic crashes are provided in the "Rates - Single" Tab. (2) Assumed two vehicles involved in PDO</t>
  </si>
  <si>
    <t>$/crash</t>
  </si>
  <si>
    <t>n/a</t>
  </si>
  <si>
    <t>Summary</t>
  </si>
  <si>
    <t>BENEFIT-COST ANALYIS (BCA) RESOURCE GUIDE (NOVEMBER 2016)</t>
  </si>
  <si>
    <t>Source: TxDOT CRIS DATA (CRIS stands for Crash Reporting Information System)</t>
  </si>
  <si>
    <t>Total Cost Excl. O&amp;M =</t>
  </si>
  <si>
    <t>Total PE + ROW + CONST.</t>
  </si>
  <si>
    <t>Total Cost</t>
  </si>
  <si>
    <t>NPV of Maintenance Costs Saved/Wasted</t>
  </si>
  <si>
    <t>NPV =
[G/(1+3%)^A]</t>
  </si>
  <si>
    <t>NPV =
[G/(1+7%)^A]</t>
  </si>
  <si>
    <t>"Project Costs" Tab</t>
  </si>
  <si>
    <t>Annual Traffic</t>
  </si>
  <si>
    <t>Total O&amp;M Cost =</t>
  </si>
  <si>
    <t xml:space="preserve">VMT No Build </t>
  </si>
  <si>
    <t>CUUR0300SA0,CUUS0300SA0</t>
  </si>
  <si>
    <t>South urban</t>
  </si>
  <si>
    <t>1990 to 2015</t>
  </si>
  <si>
    <t>Consumer Price Index, All South Urban Areas</t>
  </si>
  <si>
    <t>Source: U.S. DOT, Federal Transit Administration. New and Small Starts Evaluation and Rating Process. Final Policy Guidance. August 2013</t>
  </si>
  <si>
    <t>Emissions Calculator Technical Documentation and User Guide, Prepared for Indianapolis MPO, Prepared by CS, Dec 03, 2015</t>
  </si>
  <si>
    <t>Estimated based on the KABCO/Unknown - AIS Data Conversion Matrix developed by the NHTSA (July 2011) and provided in the U.S. DOT Benefit-Cost Analysis (BCA) Resource Guide (November 2016), page 12 of 19. See computations in "KABCO-AIS Conv Matrix" tab.</t>
  </si>
  <si>
    <t>U.S. DOT Benefit-Cost Analysis (BCA) Resource Guide (November 2016) supplement to the 2016 Benefit-Cost Analysis Guidance for Grant Applicants. Note: the USDOT estimates that there are 13,000 short-term job-years created per one billion dollars of government investment (or $76,900 per job-year)</t>
  </si>
  <si>
    <r>
      <rPr>
        <b/>
        <sz val="10"/>
        <rFont val="Arial"/>
        <family val="2"/>
      </rPr>
      <t>U.S. DOT,</t>
    </r>
    <r>
      <rPr>
        <b/>
        <i/>
        <sz val="10"/>
        <rFont val="Arial"/>
        <family val="2"/>
      </rPr>
      <t xml:space="preserve"> </t>
    </r>
    <r>
      <rPr>
        <b/>
        <sz val="10"/>
        <rFont val="Arial"/>
        <family val="2"/>
      </rPr>
      <t>NHTSA</t>
    </r>
    <r>
      <rPr>
        <b/>
        <i/>
        <sz val="10"/>
        <rFont val="Arial"/>
        <family val="2"/>
      </rPr>
      <t>, The Economic and Societal Impact of Motor Vehicle Crashes, 2010</t>
    </r>
  </si>
  <si>
    <t>Construction, Design &amp; Contigencies</t>
  </si>
  <si>
    <t>Note: Inflated from 2000 to 2015 dollars based on the Conusmer Price Index (CPI)</t>
  </si>
  <si>
    <t>Project Cost</t>
  </si>
  <si>
    <t>Operating Cost Tables</t>
  </si>
  <si>
    <t>FUEL CONSUMPTION RATES</t>
  </si>
  <si>
    <t>(gal/veh-mi)</t>
  </si>
  <si>
    <t>Speed</t>
  </si>
  <si>
    <t>Auto*</t>
  </si>
  <si>
    <t>* Includes motorcycles &amp; motorhomes</t>
  </si>
  <si>
    <t>Note: Five mph is best estimate for idling</t>
  </si>
  <si>
    <t>Source: California Air Resources Board,</t>
  </si>
  <si>
    <t>EMFAC2011, 2011 &amp; 2031 average</t>
  </si>
  <si>
    <t>Fuel Efficiency (gal/veh-mile), No Build</t>
  </si>
  <si>
    <t>Fuel Efficiency (gal/veh-mile), Build</t>
  </si>
  <si>
    <t xml:space="preserve">Fuel Efficiency as a Funtion of Running Speeds </t>
  </si>
  <si>
    <t>Fuel Used in Average Trip</t>
  </si>
  <si>
    <t>Annual Traffic, No Build</t>
  </si>
  <si>
    <t>Annual Traffic, Build</t>
  </si>
  <si>
    <t>No Build = (1)</t>
  </si>
  <si>
    <t>Build = (2)</t>
  </si>
  <si>
    <t>Changes = (2) - (1)</t>
  </si>
  <si>
    <t>Fuel Used by Annual Traffic (Using the No-Build ADT and the Build ADT)</t>
  </si>
  <si>
    <t>Fuel Cost</t>
  </si>
  <si>
    <t>in 2011$</t>
  </si>
  <si>
    <t>cent/mile</t>
  </si>
  <si>
    <t>$/mile</t>
  </si>
  <si>
    <t>Non-fuel Cost ($/mile)</t>
  </si>
  <si>
    <t>California Life-Cycle Benefit/Cost Analysis Cost Analysis Model, Technical Supplement to User's Guide, Volume 3: Traffic Operations Consistency, Network and Corridor Analysis, New Capabilities, and Economic and Parameter Value Updates, Revision 2, System Metrics Group, Inc., February 2012, Page III-53.</t>
  </si>
  <si>
    <t>Source: California Life-Cycle Benefit/Cost Analysis Cost Analysis Model, Technical Supplement to User's Guide, Volume 3: Traffic Operations Consistency, Network and Corridor Analysis, New Capabilities, and Economic and Parameter Value Updates, Revision 2, System Metrics Group, Inc., February 2012, Page III-53.</t>
  </si>
  <si>
    <t>Value (in 2016)</t>
  </si>
  <si>
    <t>Average change (2006-2016)</t>
  </si>
  <si>
    <t>All US</t>
  </si>
  <si>
    <t>Auto.Leisure.VMT</t>
  </si>
  <si>
    <t>Auto.Commute.VMT</t>
  </si>
  <si>
    <t>Auto.Business.VMT</t>
  </si>
  <si>
    <t>Truck.VMT</t>
  </si>
  <si>
    <t>Auto.Leisure.VHT</t>
  </si>
  <si>
    <t>Auto.Commute.VHT</t>
  </si>
  <si>
    <t>Auto.Business.VHT</t>
  </si>
  <si>
    <t>Truck.VHT</t>
  </si>
  <si>
    <t>Annual VMT No-Build</t>
  </si>
  <si>
    <t>Annual VHT No-Build</t>
  </si>
  <si>
    <t>Annual VMT Build</t>
  </si>
  <si>
    <t>Annual VHT Build</t>
  </si>
  <si>
    <t>Auto.Leisure</t>
  </si>
  <si>
    <t>Auto.Commute</t>
  </si>
  <si>
    <t>Auto.Business</t>
  </si>
  <si>
    <t>Marginal Pavement Cost (in 2016$)</t>
  </si>
  <si>
    <t xml:space="preserve">Monetary Value (in 2016$) = AMPC x Changes in VMT </t>
  </si>
  <si>
    <t>Monetary Value (in 2016$) =</t>
  </si>
  <si>
    <t>Monetary Value (in 2016$) = TMPC x Changes in VMT = (d)</t>
  </si>
  <si>
    <t>Pavement Maintenance Cost Changes (in 2016$)</t>
  </si>
  <si>
    <t>Travel Time Changes (in 2016$)</t>
  </si>
  <si>
    <t xml:space="preserve">Monetary Value (in 2016$) = AVO x VOT x Changes in VHT </t>
  </si>
  <si>
    <t>No-Build</t>
  </si>
  <si>
    <t>Auto.Leisure.</t>
  </si>
  <si>
    <t>Auto.Commute.</t>
  </si>
  <si>
    <t>Auto.Business.</t>
  </si>
  <si>
    <t>Truck.</t>
  </si>
  <si>
    <t>Average Arkansas 2016 Gas Prices</t>
  </si>
  <si>
    <t>Average Arkansas 2016 Diesel Prices</t>
  </si>
  <si>
    <t>in 2016$</t>
  </si>
  <si>
    <t>Motor Vehicle Crashes in Similar Segments on I-30/I-40</t>
  </si>
  <si>
    <t>VMT No-Build</t>
  </si>
  <si>
    <t>VMT Build</t>
  </si>
  <si>
    <t>6-Lane with C/D SDI</t>
  </si>
  <si>
    <t>6-Lane with C/D SPUI</t>
  </si>
  <si>
    <t>MVMT</t>
  </si>
  <si>
    <t>Alternative</t>
  </si>
  <si>
    <t>Unit Value (in 2016$)</t>
  </si>
  <si>
    <t>Monetary Value of Reduced/Additional Pavement Maintenance (in 2016$)</t>
  </si>
  <si>
    <t>Monetary Value of Travel Time Cost Saved/Wasted (in 2016$)</t>
  </si>
  <si>
    <t xml:space="preserve"> CO Emissions Damage Cost (3% SCC) (in 2016$)</t>
  </si>
  <si>
    <t>Monetary Value of Reduced/Additional Motor Vehicle Crashes (in 2016$)</t>
  </si>
  <si>
    <t>Undiscounted (in 2016$)</t>
  </si>
  <si>
    <t>Benefits Input for IMPLAN</t>
  </si>
  <si>
    <t>IMPLAN</t>
  </si>
  <si>
    <t>IMPLAN Inputs</t>
  </si>
  <si>
    <t xml:space="preserve">VMT Build </t>
  </si>
  <si>
    <t>- VOC Non-Fuel Costs for Autos</t>
  </si>
  <si>
    <t>- VOC Non-Fuel Costs for Trucks</t>
  </si>
  <si>
    <t>Trip Types</t>
  </si>
  <si>
    <t xml:space="preserve">A </t>
  </si>
  <si>
    <t>Crash Forecast 2041</t>
  </si>
  <si>
    <t>Crash Ratios per MVMT 2041</t>
  </si>
  <si>
    <t>Gallos of Fuel Used in trip, Build</t>
  </si>
  <si>
    <t>Gallos of Fuel Used in trip, No Build</t>
  </si>
  <si>
    <t>Fuel Cost Savings</t>
  </si>
  <si>
    <t>Cost Estimate</t>
  </si>
  <si>
    <t>DB 1</t>
  </si>
  <si>
    <t>DB 2</t>
  </si>
  <si>
    <t>DB 3</t>
  </si>
  <si>
    <t>DB 4</t>
  </si>
  <si>
    <t>Base Cost Estimate</t>
  </si>
  <si>
    <t>Benefit-Cost Analysis Summary @ 7% Discount Rate</t>
  </si>
  <si>
    <t>BENEFIT-COST RATIO = (B) / (C ) =</t>
  </si>
  <si>
    <t xml:space="preserve">Project Costs </t>
  </si>
  <si>
    <t>Cost Categories</t>
  </si>
  <si>
    <t>Capital Costs</t>
  </si>
  <si>
    <t>O&amp;M Costs</t>
  </si>
  <si>
    <t>Total Costs (C )=</t>
  </si>
  <si>
    <t>Project Benefits</t>
  </si>
  <si>
    <t>Benefit Category</t>
  </si>
  <si>
    <t>Total Benefits (B) =</t>
  </si>
  <si>
    <t>Job-Years</t>
  </si>
  <si>
    <t>Jobs</t>
  </si>
  <si>
    <t>Value of Time (VOT) in 2016$</t>
  </si>
  <si>
    <t>VMT</t>
  </si>
  <si>
    <t>VHT</t>
  </si>
  <si>
    <t>ADT</t>
  </si>
  <si>
    <t>6-Lane CD SPUI</t>
  </si>
  <si>
    <t>Changes in VMT (in miles) = (VMT/Driver Build - VMT/Driver No Build) x Volume Build</t>
  </si>
  <si>
    <t xml:space="preserve">Monetary Value (in 2016$) = AVOC x Changes in VMT </t>
  </si>
  <si>
    <t>Auto, Leisure</t>
  </si>
  <si>
    <t>Auto, Commute</t>
  </si>
  <si>
    <t>Auto, Business</t>
  </si>
  <si>
    <t>Driving costs (cents per mile), 2016</t>
  </si>
  <si>
    <t>Total Travel Expenditures</t>
  </si>
  <si>
    <t>Travel Generated Payroll</t>
  </si>
  <si>
    <t>Travel generated Employment</t>
  </si>
  <si>
    <t>Travel Generated State Tax</t>
  </si>
  <si>
    <t>Travel Generated Local Tax</t>
  </si>
  <si>
    <t>Visitor Per Person Trips</t>
  </si>
  <si>
    <t>Average Expenditure Per Person Trip</t>
  </si>
  <si>
    <t>CPI Inputs</t>
  </si>
  <si>
    <t>Fuel Prices</t>
  </si>
  <si>
    <t>Emission Rates</t>
  </si>
  <si>
    <t>Pavement Marginal Cost</t>
  </si>
  <si>
    <t>Pulaski County Tourism Inputs</t>
  </si>
  <si>
    <t>Economic Impact Assessment Spreadsheet for 30 Crossing Project</t>
  </si>
  <si>
    <t>Tourism Impacts</t>
  </si>
  <si>
    <t>6-Lane CD SDI</t>
  </si>
  <si>
    <t>Average Travel Generated Payroll</t>
  </si>
  <si>
    <t>Average Travel Generated State Tax</t>
  </si>
  <si>
    <t>Average Travel Generated Local Tax</t>
  </si>
  <si>
    <t>Avg. Trip Duration No-Build</t>
  </si>
  <si>
    <t>Avg. Trip Duration Build</t>
  </si>
  <si>
    <t xml:space="preserve">(c) </t>
  </si>
  <si>
    <t>Travel Time Elasticity</t>
  </si>
  <si>
    <t>Induced Tourist Visitor Trips</t>
  </si>
  <si>
    <t>Change in Auto Leisure Trips</t>
  </si>
  <si>
    <t>Monetary Value of Tourism</t>
  </si>
  <si>
    <t>Average Tourism generated State Tax</t>
  </si>
  <si>
    <t>Average Tourism generated Local Tax</t>
  </si>
  <si>
    <t>Reduced/Additional Tourism Trips</t>
  </si>
  <si>
    <t>Monetary Impacts</t>
  </si>
  <si>
    <t>Average Tourism Generated Expenditures</t>
  </si>
  <si>
    <t>Tourism</t>
  </si>
  <si>
    <t>Tourist Expenditures</t>
  </si>
  <si>
    <t>Monetary Value of Reduced/Additional Tourism (in 2016$)</t>
  </si>
  <si>
    <t>G. Job Creation</t>
  </si>
  <si>
    <t>G.1 Increase in Short-Term Job-Years due to Project during Development and Construction</t>
  </si>
  <si>
    <t>G.2 Increase in Short-Term Job-Years due to Project during Development, Construction and Maintenance</t>
  </si>
  <si>
    <t>G.3 Average # of Short-Term Jobs Created in a Year due to Project during Development and Construction</t>
  </si>
  <si>
    <t>Tourism Benefits/Costs</t>
  </si>
  <si>
    <t>Sum of All Monetary Impacts</t>
  </si>
  <si>
    <t>CAGR 2000-2015</t>
  </si>
  <si>
    <t>Historical Data from Little Rock Visitor's Bureau and the Arkansas Department of Parks and Tourism</t>
  </si>
  <si>
    <t>Downtown Little Rock Visitors</t>
  </si>
  <si>
    <t>Forecast Using the CAGR 2000-2015</t>
  </si>
  <si>
    <t>Monetary Value of Reduced/Additional Non-Fuel VOC (in 2016$)</t>
  </si>
  <si>
    <t>U.S. DOT Benefit-Cost Analysis (BCA)Guidence for TIGER and INFRA Applications (July 2017)</t>
  </si>
  <si>
    <t>U.S. Bureau of Labor Statistics, Houry Wages, Little Rock-North Little Rock, AR, US 2016</t>
  </si>
  <si>
    <t>https://www.bls.gov/cew/datatoc.htm</t>
  </si>
  <si>
    <t>U.S. DOT Benefit-Cost Analysis (BCA)Guidence for TIGER and INFRA Applications (July 2017) (Corporate Average Fuel Economy for MY2017-MY2025 Passenger Cars and Light Trucks (August 2012), page 922, Table VIII- 16, “Economic Values Used for Benefits Computations (2010 dollars))</t>
  </si>
  <si>
    <t>http://www.nhtsa.gov/staticfiles/rulemakin g/pdf/cafe/FRIA_2017-2025.pdf</t>
  </si>
  <si>
    <t>Per Executive Order 13783, Promoting Energy Independence and Economic Growth, March 28, 2017, USDOT does not currently have recommended unit values for reductions in these pollutants. Any such estimates provided in a BCA under the TIGER or INFRA programs, however, should be discounted at the same rate as costs and other benefits quantified in the BCA, and should be based on the domestic damages of such emissions, rather than using global values.</t>
  </si>
  <si>
    <t>Avg. Trip Distance No-Build</t>
  </si>
  <si>
    <t>Avg. Trip Distance Build</t>
  </si>
  <si>
    <t>Crash Rates per MVMT</t>
  </si>
  <si>
    <t>Crash Cost and Rate Assumptions</t>
  </si>
  <si>
    <t>Monetized Value of Crashes (based on the MAIS Scale)</t>
  </si>
  <si>
    <t>Average Monetized Value of Crashes (for KABCO-reported and generic accident data)</t>
  </si>
  <si>
    <t>(1) Travel Time Cost Benefits, Vehicle Operating Cost Benefits, Emission Damage Cost Benefits, State of Good Repair Benefits, and Traffic Safety Cost Benefits</t>
  </si>
  <si>
    <t>Sate of Good Repair Cost Benefits/Disbenefits</t>
  </si>
  <si>
    <t>Travel Time Cost Benefits/Disbenefits</t>
  </si>
  <si>
    <t>Social Cost of Carbon (SCC) Emission Cost Benefits/Disbenefits</t>
  </si>
  <si>
    <t>Non-Carbon Emission Cost Benefits/Disbenefits</t>
  </si>
  <si>
    <t>Traffic Crashes Cost Benefits/Disbenefits</t>
  </si>
  <si>
    <t>Tourism Benefits/Disbenefits</t>
  </si>
  <si>
    <t>Economic Impact Assessment Assumptions and Rates for 30 Crossing Project</t>
  </si>
  <si>
    <t>Summary of Benefits for the 30 Crossing Project</t>
  </si>
  <si>
    <t>Benefits/Cost Analysis for 30 Crossing Project</t>
  </si>
  <si>
    <t>Construction and O&amp;M Project Cost Estimates for 30 Crossing Project</t>
  </si>
  <si>
    <t>Economic Impact Assessment for 30 Crossing Project</t>
  </si>
  <si>
    <t>Travel Time Impacts</t>
  </si>
  <si>
    <t>Emission Impacts</t>
  </si>
  <si>
    <t>Vehicle Operating Cost (VOC) Non-Fuel Based Impacts</t>
  </si>
  <si>
    <t>Traffic Safety Impacts</t>
  </si>
  <si>
    <t>Job Creation</t>
  </si>
  <si>
    <t>Day Trips %</t>
  </si>
  <si>
    <t>Avg State Tax Rate</t>
  </si>
  <si>
    <t>Avg Local Tax Rate</t>
  </si>
  <si>
    <t>Average State Tax Rate</t>
  </si>
  <si>
    <t>Average Local Tax Rate</t>
  </si>
  <si>
    <t>Travel Generated State Tax Rate</t>
  </si>
  <si>
    <t>Travel Generated Local Tax Rate</t>
  </si>
  <si>
    <t>Tourism Day Trips</t>
  </si>
  <si>
    <t>Change in Travel Time</t>
  </si>
  <si>
    <t>In 2016$</t>
  </si>
  <si>
    <t>Benefits ($2016)</t>
  </si>
  <si>
    <t>Costs  ($2016)</t>
  </si>
  <si>
    <t>B/C Ratio ($2016)</t>
  </si>
  <si>
    <r>
      <t>CO</t>
    </r>
    <r>
      <rPr>
        <b/>
        <vertAlign val="subscript"/>
        <sz val="20"/>
        <color rgb="FFFFFF00"/>
        <rFont val="Arial"/>
        <family val="2"/>
      </rPr>
      <t>2</t>
    </r>
    <r>
      <rPr>
        <b/>
        <sz val="20"/>
        <color rgb="FFFFFF00"/>
        <rFont val="Arial"/>
        <family val="2"/>
      </rPr>
      <t xml:space="preserve"> Emissions Rates as a Funtion of Running Speeds </t>
    </r>
  </si>
  <si>
    <r>
      <t>CO</t>
    </r>
    <r>
      <rPr>
        <b/>
        <vertAlign val="subscript"/>
        <sz val="18"/>
        <rFont val="Arial"/>
        <family val="2"/>
      </rPr>
      <t>2</t>
    </r>
    <r>
      <rPr>
        <b/>
        <sz val="18"/>
        <rFont val="Arial"/>
        <family val="2"/>
      </rPr>
      <t xml:space="preserve"> Emission Rates (g/mile), No Build</t>
    </r>
  </si>
  <si>
    <r>
      <t>CO</t>
    </r>
    <r>
      <rPr>
        <vertAlign val="subscript"/>
        <sz val="11"/>
        <color theme="1"/>
        <rFont val="Arial"/>
        <family val="2"/>
      </rPr>
      <t>2</t>
    </r>
  </si>
  <si>
    <r>
      <t>CO</t>
    </r>
    <r>
      <rPr>
        <b/>
        <vertAlign val="subscript"/>
        <sz val="18"/>
        <rFont val="Arial"/>
        <family val="2"/>
      </rPr>
      <t>2</t>
    </r>
    <r>
      <rPr>
        <b/>
        <sz val="18"/>
        <rFont val="Arial"/>
        <family val="2"/>
      </rPr>
      <t xml:space="preserve"> Emission Rates (g/mile), Build</t>
    </r>
  </si>
  <si>
    <r>
      <t>Changes of CO</t>
    </r>
    <r>
      <rPr>
        <b/>
        <vertAlign val="subscript"/>
        <sz val="20"/>
        <color rgb="FFFFFF00"/>
        <rFont val="Arial"/>
        <family val="2"/>
      </rPr>
      <t>2</t>
    </r>
    <r>
      <rPr>
        <b/>
        <sz val="20"/>
        <color rgb="FFFFFF00"/>
        <rFont val="Arial"/>
        <family val="2"/>
      </rPr>
      <t xml:space="preserve"> Emissions and their Monetary Value (in 2015$)</t>
    </r>
  </si>
  <si>
    <r>
      <t>CO</t>
    </r>
    <r>
      <rPr>
        <b/>
        <vertAlign val="subscript"/>
        <sz val="18"/>
        <rFont val="Arial"/>
        <family val="2"/>
      </rPr>
      <t>2</t>
    </r>
    <r>
      <rPr>
        <b/>
        <sz val="18"/>
        <rFont val="Arial"/>
        <family val="2"/>
      </rPr>
      <t xml:space="preserve"> Emissions (in metric ton), No Build = (1)</t>
    </r>
  </si>
  <si>
    <r>
      <t xml:space="preserve"> CO</t>
    </r>
    <r>
      <rPr>
        <b/>
        <vertAlign val="subscript"/>
        <sz val="20"/>
        <rFont val="Arial"/>
        <family val="2"/>
      </rPr>
      <t>2</t>
    </r>
    <r>
      <rPr>
        <b/>
        <sz val="20"/>
        <rFont val="Arial"/>
        <family val="2"/>
      </rPr>
      <t xml:space="preserve"> Emissions (in metric ton), Build = (2)</t>
    </r>
  </si>
  <si>
    <r>
      <t>Changes in  CO</t>
    </r>
    <r>
      <rPr>
        <b/>
        <vertAlign val="subscript"/>
        <sz val="18"/>
        <rFont val="Arial"/>
        <family val="2"/>
      </rPr>
      <t>2</t>
    </r>
    <r>
      <rPr>
        <b/>
        <sz val="18"/>
        <rFont val="Arial"/>
        <family val="2"/>
      </rPr>
      <t xml:space="preserve"> Emissions (in metric ton) = (2) - (1)</t>
    </r>
  </si>
  <si>
    <r>
      <t>Note: Source(s) of unit cost for CO</t>
    </r>
    <r>
      <rPr>
        <vertAlign val="subscript"/>
        <sz val="10"/>
        <color theme="1"/>
        <rFont val="Arial"/>
        <family val="2"/>
      </rPr>
      <t>2</t>
    </r>
    <r>
      <rPr>
        <sz val="10"/>
        <color theme="1"/>
        <rFont val="Arial"/>
        <family val="2"/>
      </rPr>
      <t xml:space="preserve"> emissions are provided in the "Rates - Single" Tab</t>
    </r>
  </si>
  <si>
    <t>VOC Emission Rates (g/mile), No Build</t>
  </si>
  <si>
    <t>VOC Emission Rates (g/mile), Build</t>
  </si>
  <si>
    <r>
      <t>NO</t>
    </r>
    <r>
      <rPr>
        <b/>
        <vertAlign val="subscript"/>
        <sz val="20"/>
        <color rgb="FFFFFF00"/>
        <rFont val="Arial"/>
        <family val="2"/>
      </rPr>
      <t>X</t>
    </r>
    <r>
      <rPr>
        <b/>
        <sz val="20"/>
        <color rgb="FFFFFF00"/>
        <rFont val="Arial"/>
        <family val="2"/>
      </rPr>
      <t xml:space="preserve"> Emissions Rates as a Funtion of Running Speeds </t>
    </r>
  </si>
  <si>
    <r>
      <t>NO</t>
    </r>
    <r>
      <rPr>
        <b/>
        <vertAlign val="subscript"/>
        <sz val="20"/>
        <color theme="1"/>
        <rFont val="Arial"/>
        <family val="2"/>
      </rPr>
      <t>X</t>
    </r>
    <r>
      <rPr>
        <b/>
        <sz val="20"/>
        <color theme="1"/>
        <rFont val="Arial"/>
        <family val="2"/>
      </rPr>
      <t xml:space="preserve"> Emission Rates (g/mile), No Build</t>
    </r>
  </si>
  <si>
    <r>
      <t>NO</t>
    </r>
    <r>
      <rPr>
        <vertAlign val="subscript"/>
        <sz val="11"/>
        <color theme="1"/>
        <rFont val="Arial"/>
        <family val="2"/>
      </rPr>
      <t>X</t>
    </r>
  </si>
  <si>
    <r>
      <t>NO</t>
    </r>
    <r>
      <rPr>
        <b/>
        <vertAlign val="subscript"/>
        <sz val="20"/>
        <color theme="1"/>
        <rFont val="Arial"/>
        <family val="2"/>
      </rPr>
      <t>X</t>
    </r>
    <r>
      <rPr>
        <b/>
        <sz val="20"/>
        <color theme="1"/>
        <rFont val="Arial"/>
        <family val="2"/>
      </rPr>
      <t xml:space="preserve"> Emission Rates (g/mile), Build</t>
    </r>
  </si>
  <si>
    <r>
      <t>NO</t>
    </r>
    <r>
      <rPr>
        <b/>
        <vertAlign val="subscript"/>
        <sz val="20"/>
        <color theme="1"/>
        <rFont val="Arial"/>
        <family val="2"/>
      </rPr>
      <t>X</t>
    </r>
    <r>
      <rPr>
        <b/>
        <sz val="20"/>
        <color theme="1"/>
        <rFont val="Arial"/>
        <family val="2"/>
      </rPr>
      <t xml:space="preserve"> Emissions (in short ton), No Build = (1)</t>
    </r>
  </si>
  <si>
    <r>
      <t>NO</t>
    </r>
    <r>
      <rPr>
        <b/>
        <vertAlign val="subscript"/>
        <sz val="20"/>
        <color theme="1"/>
        <rFont val="Arial"/>
        <family val="2"/>
      </rPr>
      <t>X</t>
    </r>
    <r>
      <rPr>
        <b/>
        <sz val="20"/>
        <color theme="1"/>
        <rFont val="Arial"/>
        <family val="2"/>
      </rPr>
      <t xml:space="preserve"> Emissions (in short ton), Build = (2)</t>
    </r>
  </si>
  <si>
    <r>
      <t>Changes in NO</t>
    </r>
    <r>
      <rPr>
        <b/>
        <vertAlign val="subscript"/>
        <sz val="20"/>
        <color theme="1"/>
        <rFont val="Arial"/>
        <family val="2"/>
      </rPr>
      <t>X</t>
    </r>
    <r>
      <rPr>
        <b/>
        <sz val="20"/>
        <color theme="1"/>
        <rFont val="Arial"/>
        <family val="2"/>
      </rPr>
      <t xml:space="preserve"> Emissions (in short tons) = (2) - (1)</t>
    </r>
  </si>
  <si>
    <r>
      <t>Changes in NO</t>
    </r>
    <r>
      <rPr>
        <b/>
        <vertAlign val="subscript"/>
        <sz val="20"/>
        <color theme="0"/>
        <rFont val="Arial"/>
        <family val="2"/>
      </rPr>
      <t>X</t>
    </r>
    <r>
      <rPr>
        <b/>
        <sz val="20"/>
        <color theme="0"/>
        <rFont val="Arial"/>
        <family val="2"/>
      </rPr>
      <t xml:space="preserve"> Emissions (in 2015$) </t>
    </r>
  </si>
  <si>
    <r>
      <t>Note: Source(s) of unit cost for CO</t>
    </r>
    <r>
      <rPr>
        <vertAlign val="subscript"/>
        <sz val="10"/>
        <color theme="1"/>
        <rFont val="Arial"/>
        <family val="2"/>
      </rPr>
      <t>2</t>
    </r>
    <r>
      <rPr>
        <sz val="10"/>
        <color theme="1"/>
        <rFont val="Arial"/>
        <family val="2"/>
      </rPr>
      <t xml:space="preserve"> are provided in the "Rates - Single" Tab</t>
    </r>
  </si>
  <si>
    <r>
      <t>SO</t>
    </r>
    <r>
      <rPr>
        <b/>
        <vertAlign val="subscript"/>
        <sz val="20"/>
        <color rgb="FFFFFF00"/>
        <rFont val="Arial"/>
        <family val="2"/>
      </rPr>
      <t>X</t>
    </r>
    <r>
      <rPr>
        <b/>
        <sz val="20"/>
        <color rgb="FFFFFF00"/>
        <rFont val="Arial"/>
        <family val="2"/>
      </rPr>
      <t xml:space="preserve"> Emissions Rates as a Funtion of Running Speeds </t>
    </r>
  </si>
  <si>
    <r>
      <t>SO</t>
    </r>
    <r>
      <rPr>
        <b/>
        <vertAlign val="subscript"/>
        <sz val="20"/>
        <color theme="1"/>
        <rFont val="Arial"/>
        <family val="2"/>
      </rPr>
      <t xml:space="preserve">X </t>
    </r>
    <r>
      <rPr>
        <b/>
        <sz val="20"/>
        <color theme="1"/>
        <rFont val="Arial"/>
        <family val="2"/>
      </rPr>
      <t>Emission Rates (g/mile), No Build</t>
    </r>
  </si>
  <si>
    <r>
      <t>SO</t>
    </r>
    <r>
      <rPr>
        <vertAlign val="subscript"/>
        <sz val="11"/>
        <color theme="1"/>
        <rFont val="Arial"/>
        <family val="2"/>
      </rPr>
      <t>X</t>
    </r>
  </si>
  <si>
    <r>
      <t>Changes of SO</t>
    </r>
    <r>
      <rPr>
        <b/>
        <vertAlign val="subscript"/>
        <sz val="20"/>
        <color rgb="FFFFFF00"/>
        <rFont val="Arial"/>
        <family val="2"/>
      </rPr>
      <t>X</t>
    </r>
    <r>
      <rPr>
        <b/>
        <sz val="20"/>
        <color rgb="FFFFFF00"/>
        <rFont val="Arial"/>
        <family val="2"/>
      </rPr>
      <t xml:space="preserve"> Emissions and their Monetary Value (in 2015$)</t>
    </r>
  </si>
  <si>
    <r>
      <t>SO</t>
    </r>
    <r>
      <rPr>
        <b/>
        <vertAlign val="subscript"/>
        <sz val="20"/>
        <color theme="1"/>
        <rFont val="Arial"/>
        <family val="2"/>
      </rPr>
      <t>X</t>
    </r>
    <r>
      <rPr>
        <b/>
        <sz val="20"/>
        <color theme="1"/>
        <rFont val="Arial"/>
        <family val="2"/>
      </rPr>
      <t xml:space="preserve"> Emissions (in short ton), No Build = (1)</t>
    </r>
  </si>
  <si>
    <r>
      <t>SO</t>
    </r>
    <r>
      <rPr>
        <b/>
        <vertAlign val="subscript"/>
        <sz val="20"/>
        <color theme="1"/>
        <rFont val="Arial"/>
        <family val="2"/>
      </rPr>
      <t>X</t>
    </r>
    <r>
      <rPr>
        <b/>
        <sz val="20"/>
        <color theme="1"/>
        <rFont val="Arial"/>
        <family val="2"/>
      </rPr>
      <t xml:space="preserve"> Emissions (in short ton), Build = (2)</t>
    </r>
  </si>
  <si>
    <r>
      <t>Changes in SO</t>
    </r>
    <r>
      <rPr>
        <b/>
        <vertAlign val="subscript"/>
        <sz val="20"/>
        <color theme="1"/>
        <rFont val="Arial"/>
        <family val="2"/>
      </rPr>
      <t>x</t>
    </r>
    <r>
      <rPr>
        <b/>
        <sz val="20"/>
        <color theme="1"/>
        <rFont val="Arial"/>
        <family val="2"/>
      </rPr>
      <t xml:space="preserve"> Emissions (in short tons) = (2) - (1)</t>
    </r>
  </si>
  <si>
    <r>
      <t>SO</t>
    </r>
    <r>
      <rPr>
        <b/>
        <vertAlign val="subscript"/>
        <sz val="16"/>
        <color theme="1"/>
        <rFont val="Arial"/>
        <family val="2"/>
      </rPr>
      <t>X</t>
    </r>
    <r>
      <rPr>
        <b/>
        <sz val="16"/>
        <color theme="1"/>
        <rFont val="Arial"/>
        <family val="2"/>
      </rPr>
      <t xml:space="preserve"> Emission Damage Cost ($/short ton) =</t>
    </r>
  </si>
  <si>
    <t>Vehicle Operating Cost (Non-Fuel Nased) Benefits/Disbenefits</t>
  </si>
  <si>
    <t>Vehicle Operating Cost (Fuel Nased) Benefits/Disbenefits</t>
  </si>
  <si>
    <t>Emission Cost Benefits/Disbenefits</t>
  </si>
  <si>
    <t>Traffic Safety Cost Benefits/Disbenefits</t>
  </si>
  <si>
    <r>
      <t>Monetary Value (in 2016$) = [Ʃ</t>
    </r>
    <r>
      <rPr>
        <sz val="8"/>
        <color theme="1"/>
        <rFont val="Arial"/>
        <family val="2"/>
      </rPr>
      <t xml:space="preserve"> </t>
    </r>
    <r>
      <rPr>
        <sz val="10"/>
        <color theme="1"/>
        <rFont val="Arial"/>
        <family val="2"/>
      </rPr>
      <t>(Crash Reduction Rate x Unit Value)] x VMT/100,000,000 =</t>
    </r>
  </si>
  <si>
    <t>NPV of Reduced/Additional Traffic Crashes</t>
  </si>
  <si>
    <t>Capital Costs (in 2016$)</t>
  </si>
  <si>
    <t>O&amp;M Costs (in 2016$)</t>
  </si>
  <si>
    <t>Travel Time Costs Saved/Wasted</t>
  </si>
  <si>
    <t>State of Good Repair Costs Saved/Wasted</t>
  </si>
  <si>
    <t>Vehicle Operating Costs Saved/Wasted</t>
  </si>
  <si>
    <t>Traffic Safety Costs Saved/Wasted</t>
  </si>
  <si>
    <t>B/C Ratio (3%)</t>
  </si>
  <si>
    <t>B/C Ratio (7%)</t>
  </si>
  <si>
    <t>Scenario</t>
  </si>
  <si>
    <t>AM Peak Hour</t>
  </si>
  <si>
    <t>Daily</t>
  </si>
  <si>
    <t>Model 
Period
(hr)</t>
  </si>
  <si>
    <t>TOD</t>
  </si>
  <si>
    <t>Total 
Volume</t>
  </si>
  <si>
    <t>Car</t>
  </si>
  <si>
    <t>Daily Total 
Volume</t>
  </si>
  <si>
    <t>Total Distance 
(VMT)veh-mile</t>
  </si>
  <si>
    <t>Total Time
(VHT)-veh-hr</t>
  </si>
  <si>
    <t>Total Delay
veh-hr</t>
  </si>
  <si>
    <t>Volume 
arrived</t>
  </si>
  <si>
    <t>Volume 
Active</t>
  </si>
  <si>
    <t>Volume
 arrived</t>
  </si>
  <si>
    <t>Volume
 Active</t>
  </si>
  <si>
    <t>2</t>
  </si>
  <si>
    <t>AM</t>
  </si>
  <si>
    <t xml:space="preserve">AM </t>
  </si>
  <si>
    <t>8.75</t>
  </si>
  <si>
    <r>
      <rPr>
        <b/>
        <sz val="10"/>
        <rFont val="Calibri"/>
        <family val="2"/>
        <scheme val="minor"/>
      </rPr>
      <t>2014</t>
    </r>
    <r>
      <rPr>
        <sz val="10"/>
        <rFont val="Calibri"/>
        <family val="2"/>
        <scheme val="minor"/>
      </rPr>
      <t xml:space="preserve"> Existing </t>
    </r>
  </si>
  <si>
    <r>
      <rPr>
        <b/>
        <sz val="10"/>
        <rFont val="Calibri"/>
        <family val="2"/>
        <scheme val="minor"/>
      </rPr>
      <t>2021</t>
    </r>
    <r>
      <rPr>
        <sz val="10"/>
        <rFont val="Calibri"/>
        <family val="2"/>
        <scheme val="minor"/>
      </rPr>
      <t xml:space="preserve"> 6 ln_CD_SPUI</t>
    </r>
  </si>
  <si>
    <r>
      <rPr>
        <b/>
        <sz val="10"/>
        <rFont val="Calibri"/>
        <family val="2"/>
        <scheme val="minor"/>
      </rPr>
      <t>2021</t>
    </r>
    <r>
      <rPr>
        <sz val="10"/>
        <rFont val="Calibri"/>
        <family val="2"/>
        <scheme val="minor"/>
      </rPr>
      <t xml:space="preserve"> 6 ln_CD_SD</t>
    </r>
  </si>
  <si>
    <r>
      <rPr>
        <b/>
        <sz val="10"/>
        <rFont val="Calibri"/>
        <family val="2"/>
        <scheme val="minor"/>
      </rPr>
      <t>2041</t>
    </r>
    <r>
      <rPr>
        <sz val="10"/>
        <rFont val="Calibri"/>
        <family val="2"/>
        <scheme val="minor"/>
      </rPr>
      <t xml:space="preserve"> NoBuild</t>
    </r>
  </si>
  <si>
    <r>
      <rPr>
        <b/>
        <sz val="10"/>
        <rFont val="Calibri"/>
        <family val="2"/>
        <scheme val="minor"/>
      </rPr>
      <t>2041</t>
    </r>
    <r>
      <rPr>
        <sz val="10"/>
        <rFont val="Calibri"/>
        <family val="2"/>
        <scheme val="minor"/>
      </rPr>
      <t xml:space="preserve"> 6 ln_CD_SPUI</t>
    </r>
  </si>
  <si>
    <r>
      <rPr>
        <b/>
        <sz val="10"/>
        <rFont val="Calibri"/>
        <family val="2"/>
        <scheme val="minor"/>
      </rPr>
      <t>2041</t>
    </r>
    <r>
      <rPr>
        <sz val="10"/>
        <rFont val="Calibri"/>
        <family val="2"/>
        <scheme val="minor"/>
      </rPr>
      <t xml:space="preserve"> 6 ln__CD_SD</t>
    </r>
  </si>
  <si>
    <t>Annual Daily Traffic</t>
  </si>
  <si>
    <t>Peak Volume</t>
  </si>
  <si>
    <t>truck</t>
  </si>
  <si>
    <t>Daily Volume</t>
  </si>
  <si>
    <r>
      <rPr>
        <b/>
        <sz val="10"/>
        <rFont val="Calibri"/>
        <family val="2"/>
        <scheme val="minor"/>
      </rPr>
      <t>2023</t>
    </r>
    <r>
      <rPr>
        <sz val="10"/>
        <rFont val="Calibri"/>
        <family val="2"/>
        <scheme val="minor"/>
      </rPr>
      <t xml:space="preserve"> NoBuild</t>
    </r>
  </si>
  <si>
    <t>2014-2021 CAGR</t>
  </si>
  <si>
    <t>Car VMT</t>
  </si>
  <si>
    <t>Car VHT</t>
  </si>
  <si>
    <t>Truck VMT</t>
  </si>
  <si>
    <t>Truck VHT</t>
  </si>
  <si>
    <t>2023 NoBuild Forecast</t>
  </si>
  <si>
    <t>VISSIM Micro-Simulations Outputs</t>
  </si>
  <si>
    <t>VM, VHT, ADT Change (2023-2040)</t>
  </si>
  <si>
    <r>
      <rPr>
        <b/>
        <sz val="10"/>
        <rFont val="Calibri"/>
        <family val="2"/>
        <scheme val="minor"/>
      </rPr>
      <t>2023</t>
    </r>
    <r>
      <rPr>
        <sz val="10"/>
        <rFont val="Calibri"/>
        <family val="2"/>
        <scheme val="minor"/>
      </rPr>
      <t xml:space="preserve"> Existing </t>
    </r>
  </si>
  <si>
    <t>Cars</t>
  </si>
  <si>
    <t>Daily VMT</t>
  </si>
  <si>
    <t>Daily VHT</t>
  </si>
  <si>
    <r>
      <rPr>
        <b/>
        <sz val="10"/>
        <rFont val="Calibri"/>
        <family val="2"/>
        <scheme val="minor"/>
      </rPr>
      <t>2023</t>
    </r>
    <r>
      <rPr>
        <sz val="10"/>
        <rFont val="Calibri"/>
        <family val="2"/>
        <scheme val="minor"/>
      </rPr>
      <t xml:space="preserve"> 6 ln_CD_SPUI</t>
    </r>
  </si>
  <si>
    <r>
      <rPr>
        <b/>
        <sz val="10"/>
        <rFont val="Calibri"/>
        <family val="2"/>
        <scheme val="minor"/>
      </rPr>
      <t>2023</t>
    </r>
    <r>
      <rPr>
        <sz val="10"/>
        <rFont val="Calibri"/>
        <family val="2"/>
        <scheme val="minor"/>
      </rPr>
      <t xml:space="preserve"> 6 ln_CD_SD</t>
    </r>
  </si>
  <si>
    <t>Daily Vol</t>
  </si>
  <si>
    <t>Car Daily Vol</t>
  </si>
  <si>
    <t>Truck Daily Vol</t>
  </si>
  <si>
    <t>VISSIM Summary</t>
  </si>
  <si>
    <t>Outputs from Vissim</t>
  </si>
  <si>
    <t>Alternatives</t>
  </si>
  <si>
    <t>Truck VMT (%)</t>
  </si>
  <si>
    <t>Truck VHT (%)</t>
  </si>
  <si>
    <t>No-Build 2023 (estimated)</t>
  </si>
  <si>
    <t>No-Build 2040</t>
  </si>
  <si>
    <t>6-lane with C/D SD 2023</t>
  </si>
  <si>
    <t>6-lane with C/D SD 2040</t>
  </si>
  <si>
    <t>6-lane with C/D SPUI 2023</t>
  </si>
  <si>
    <t>6-lane with C/D SPUI 2040</t>
  </si>
  <si>
    <t>Daily Changes</t>
  </si>
  <si>
    <t>6-lane with C/D SD, Change in 2023</t>
  </si>
  <si>
    <t>6-lane with C/D SD, Change in 2040</t>
  </si>
  <si>
    <t>6-lane with C/D SPUI,  Change in 2023</t>
  </si>
  <si>
    <t>6-lane with C/D SPUI,  Change in 2040</t>
  </si>
  <si>
    <t>Truck Vol (%)</t>
  </si>
  <si>
    <t>% Daily Changes</t>
  </si>
  <si>
    <t>VISSIM Outputs</t>
  </si>
  <si>
    <t>Avg</t>
  </si>
  <si>
    <t>Auto.VMT</t>
  </si>
  <si>
    <t>No-Build 2023</t>
  </si>
  <si>
    <t>Auto.VHT</t>
  </si>
  <si>
    <t>6-lane with C/D SPUI = 6+4 SPUI</t>
  </si>
  <si>
    <t>6-lane with C/D SD = 6 + 4 SD</t>
  </si>
  <si>
    <t>Changes</t>
  </si>
  <si>
    <t>Changes between 6-lane with C/D SPUI  and No-Build</t>
  </si>
  <si>
    <t>Changes between 6-lane with C/D and No-Build</t>
  </si>
  <si>
    <t>AADT</t>
  </si>
  <si>
    <t>Ratio of Trip Types from Metroplan Travel Demand Model</t>
  </si>
  <si>
    <t>VM, VHT, ADT By Trip Types (2023-2040)</t>
  </si>
  <si>
    <t>Construction Costs</t>
  </si>
  <si>
    <t>Active Scenario</t>
  </si>
  <si>
    <t>2023-2040</t>
  </si>
  <si>
    <t>No-Build VMT</t>
  </si>
  <si>
    <t>Build VMT</t>
  </si>
  <si>
    <t>No-Action</t>
  </si>
  <si>
    <t>Action</t>
  </si>
  <si>
    <t>Miles Traveled</t>
  </si>
  <si>
    <t>Monetary Value of Pavement Maintenance (in 2016$)</t>
  </si>
  <si>
    <t>Change in 2040 to 2023</t>
  </si>
  <si>
    <t>Build VHT</t>
  </si>
  <si>
    <t>No-Build VHT</t>
  </si>
  <si>
    <t>Travel Time (in hours)</t>
  </si>
  <si>
    <t>Monetary Value of Travel Time Cost 
(in 2016$)</t>
  </si>
  <si>
    <t>Annual Impact</t>
  </si>
  <si>
    <t>No-Build VMT = VMT No-Build per Driver  * Volume</t>
  </si>
  <si>
    <t>Non-Fuel Based VOC (in $/veh-mile) in 2016$</t>
  </si>
  <si>
    <t>Fuel Based VOC (in $/veh-mile) in 2016$</t>
  </si>
  <si>
    <t xml:space="preserve">Changes in  VOC Emissions (in 2016$) </t>
  </si>
  <si>
    <t>No-Buil</t>
  </si>
  <si>
    <t>CO2 Emissions Damage Cost (2015$/metric ton) =</t>
  </si>
  <si>
    <t>Average Travel Time</t>
  </si>
  <si>
    <t>Increased/
Decreased Tourist Trips</t>
  </si>
  <si>
    <t>Trip Elasticity</t>
  </si>
  <si>
    <t>Monetary Impact of Tourism</t>
  </si>
  <si>
    <t>Note: Positive values represent savings and negative values represent losses</t>
  </si>
  <si>
    <t>Social Cost of Carbon (SCC) Emissions Saved/Wasted</t>
  </si>
  <si>
    <t>Non-Carbon Emissions Costs Costs Saved/Wasted</t>
  </si>
  <si>
    <t>Total Lane-Miles</t>
  </si>
  <si>
    <t>-</t>
  </si>
  <si>
    <t>O&amp;M Schedule of Service</t>
  </si>
  <si>
    <t>1 Every 20+ Years</t>
  </si>
  <si>
    <t>No Reconstruction with preventive O&amp;M</t>
  </si>
  <si>
    <t>1 Every 7-10 Years</t>
  </si>
  <si>
    <t>Build O&amp;M</t>
  </si>
  <si>
    <t>Build Alterantive Construction and O&amp;M Costs</t>
  </si>
  <si>
    <t>O&amp;M Years</t>
  </si>
  <si>
    <t>Build Total Costs</t>
  </si>
  <si>
    <t>Year of Expenditure Dollars</t>
  </si>
  <si>
    <t>No-Build O&amp;M</t>
  </si>
  <si>
    <t>Maintenance Unit Cost</t>
  </si>
  <si>
    <t>Rehab Unit Cost</t>
  </si>
  <si>
    <t xml:space="preserve">Reconst. Unit Cost </t>
  </si>
  <si>
    <t>Total O&amp;M Unit Cost/ 
Lane-Mile</t>
  </si>
  <si>
    <t>No-Build Total Costs</t>
  </si>
  <si>
    <t>Auto.
Leisure</t>
  </si>
  <si>
    <t>Auto.
Commute</t>
  </si>
  <si>
    <t>Auto.
Business</t>
  </si>
  <si>
    <t>Average Speed No-Build</t>
  </si>
  <si>
    <t>Average Speed Build</t>
  </si>
  <si>
    <t>Average Trip Distance No-Build</t>
  </si>
  <si>
    <t>Average Trip Distance Build</t>
  </si>
  <si>
    <t>Change in 2043 to 2023</t>
  </si>
  <si>
    <t>Build -- No-Build</t>
  </si>
  <si>
    <t>No Action O&amp;M Costs</t>
  </si>
  <si>
    <t>Benefits (3%)</t>
  </si>
  <si>
    <t>Costs  (3%)</t>
  </si>
  <si>
    <t>Active Alternative</t>
  </si>
  <si>
    <t>Code</t>
  </si>
  <si>
    <t>No-Action Impacts 2043 Compared to 2023</t>
  </si>
  <si>
    <t>Total Benefits/Disbenefits</t>
  </si>
  <si>
    <t>Maritime Safety Impacts</t>
  </si>
  <si>
    <t>Number of Accidents in the 2001-2015 Period</t>
  </si>
  <si>
    <t>Cost of Bridge/Navigation Channel Closure</t>
  </si>
  <si>
    <t>Estimated Number of Accidents per Year</t>
  </si>
  <si>
    <t>Annual Cost of Bridge/Navigation Channel Closure</t>
  </si>
  <si>
    <t>Maritime Crashes Cost Benefits/Disbenefits</t>
  </si>
  <si>
    <t>Annual Cost of Bridge/Navigation Channel Closure (in $2016)</t>
  </si>
  <si>
    <t>NPV of Reduced/Additional Maritime Crashes</t>
  </si>
  <si>
    <t>Maritime Crash Costs Saved/Wasted</t>
  </si>
  <si>
    <t>Maritime Crash Costs Benefits/Disbenefits</t>
  </si>
  <si>
    <t>Estimated Number of Accidents Avoided per Year</t>
  </si>
  <si>
    <t>Maritime Crash Costs</t>
  </si>
  <si>
    <t>Maritime Crashes</t>
  </si>
  <si>
    <t>Maritime Freight</t>
  </si>
  <si>
    <t>Total Builb O&amp;M</t>
  </si>
  <si>
    <t>Total No-Builb O&amp;M</t>
  </si>
  <si>
    <t>No-Build 2043</t>
  </si>
  <si>
    <t>6-lane with C/D SD 2043</t>
  </si>
  <si>
    <t>6-lane with C/D SPUI 2043</t>
  </si>
  <si>
    <t>No-Build Alterantive O&amp;M Costs</t>
  </si>
  <si>
    <t>1 Every 10-20 Years</t>
  </si>
  <si>
    <t>ADT No-Build</t>
  </si>
  <si>
    <t>ADT Build</t>
  </si>
  <si>
    <t>Costs  (7%)</t>
  </si>
  <si>
    <t>Benefits (7%)</t>
  </si>
  <si>
    <t>Auto Occupancy (Commute)</t>
  </si>
  <si>
    <t>% w.r.t. total auto commute trips</t>
  </si>
  <si>
    <t>Average Occupancy</t>
  </si>
  <si>
    <t>Non-Work Auto Occupancy, U.S., 2009</t>
  </si>
  <si>
    <t>Trip Type</t>
  </si>
  <si>
    <t>Shopping</t>
  </si>
  <si>
    <t>Other Family/Errands</t>
  </si>
  <si>
    <t>Social/Recreational</t>
  </si>
  <si>
    <t>Average</t>
  </si>
  <si>
    <t>Source: Summary of Travel Trends: 2009 National Household Travel Survey. Available at: http://nhts.ornl.gov/2009/pub/stt.pdf</t>
  </si>
  <si>
    <t>AVO</t>
  </si>
  <si>
    <t>Auto-Occupancy for commuting trips in Pulaski County, 2015</t>
  </si>
  <si>
    <t>Source: American FactFinder. Available at https://factfinder.census.gov/faces/tableservices/jsf/pages/productview.xhtml?pid=ACS_15_5YR_S0801&amp;prodType=table</t>
  </si>
  <si>
    <t>O&amp;M Cost Savings</t>
  </si>
  <si>
    <t>Truck Travel Time Reliability</t>
  </si>
  <si>
    <t>Impact of Truck Travel Time Reliability = 15% Additional Time Savings</t>
  </si>
  <si>
    <t>Corporate Average Fuel Economy for MY2017-MY2025 Passenger Cars and Light Trucks (August 2012), page 922, Table VIII- 16, “Economic Values Used for Benefits Computations (2010 dollars)</t>
  </si>
  <si>
    <t>Truck Travel Time Reliability Cost Benefits/Disbenefits</t>
  </si>
  <si>
    <t>Truck Travel Time Reliability Benefits/Disbenefits</t>
  </si>
  <si>
    <t>Truck Travel Time Reliability Cost Savings</t>
  </si>
  <si>
    <t>Truck Travel Time Costs Saved/Wasted</t>
  </si>
  <si>
    <t>Bridge Elements</t>
  </si>
  <si>
    <t>Pavement Elements</t>
  </si>
  <si>
    <t>Total O&amp;M</t>
  </si>
  <si>
    <t>Non-Carbon Grand Total</t>
  </si>
  <si>
    <t>Non-Fuel Vehicle Operating Cost Benefits/Disbenefits</t>
  </si>
  <si>
    <t>Fuel Vehicle Operating Cost Benefits/Disbenefits</t>
  </si>
  <si>
    <t>Reduced/Additional Gas COnsumed Traveled</t>
  </si>
  <si>
    <t>Reduced/Additional Diesel Consumed Traveled</t>
  </si>
  <si>
    <t>Fuel Savings</t>
  </si>
  <si>
    <t>Non-Fuel VOCs</t>
  </si>
  <si>
    <t>Fuel based VOCs</t>
  </si>
  <si>
    <t>VOC Fuel Based Cost Savings</t>
  </si>
  <si>
    <t>VOC Non-Fuel Based Cost Savings</t>
  </si>
  <si>
    <t>% w.r.t. total auto trips</t>
  </si>
  <si>
    <t>North Little Rock Visitors</t>
  </si>
  <si>
    <t>2015 North Little Rock Visitors</t>
  </si>
  <si>
    <t>Verizon Arena (18,000) Capacity, once a month</t>
  </si>
  <si>
    <t xml:space="preserve">Arkansas Inland Water Museum </t>
  </si>
  <si>
    <t>Downtown Riverside RV Park</t>
  </si>
  <si>
    <t>Burns Park and Other Parks Visitors</t>
  </si>
  <si>
    <t>Total 2016 Visitors</t>
  </si>
  <si>
    <t>Downtown Little Rock Area Visitors</t>
  </si>
  <si>
    <t>North Little Rock Local Visitors</t>
  </si>
  <si>
    <t>Downtown Little Rock Visitor Per Person Trips</t>
  </si>
  <si>
    <t>No. Potential Impacted Trips for Downtown Little Rock</t>
  </si>
  <si>
    <t>No. Potential Impacted Trips for North Little Rock</t>
  </si>
  <si>
    <t>Increase in Trips due to Travel Time Elasticity</t>
  </si>
  <si>
    <t>Total No. of Impacted Trips</t>
  </si>
  <si>
    <t>Visitor Trips for North Little Rock</t>
  </si>
  <si>
    <t>a</t>
  </si>
  <si>
    <r>
      <t xml:space="preserve">b = 58.6% </t>
    </r>
    <r>
      <rPr>
        <sz val="10"/>
        <color theme="1"/>
        <rFont val="Wingdings 2"/>
        <family val="1"/>
        <charset val="2"/>
      </rPr>
      <t>Í</t>
    </r>
    <r>
      <rPr>
        <sz val="10"/>
        <color theme="1"/>
        <rFont val="Arial"/>
        <family val="2"/>
      </rPr>
      <t xml:space="preserve"> a</t>
    </r>
  </si>
  <si>
    <t>c</t>
  </si>
  <si>
    <r>
      <t xml:space="preserve">d = 58.6% </t>
    </r>
    <r>
      <rPr>
        <sz val="10"/>
        <color theme="1"/>
        <rFont val="Wingdings 2"/>
        <family val="1"/>
        <charset val="2"/>
      </rPr>
      <t>Í</t>
    </r>
    <r>
      <rPr>
        <sz val="10"/>
        <color theme="1"/>
        <rFont val="Arial"/>
        <family val="2"/>
      </rPr>
      <t xml:space="preserve"> b</t>
    </r>
  </si>
  <si>
    <t>b + d</t>
  </si>
  <si>
    <t>Average Trip Time No-Build  (Auto Leisure)</t>
  </si>
  <si>
    <t>Average Trip Time Build  (Auto Leisure)</t>
  </si>
  <si>
    <t>Vehicle Operating Costs (Non-Fuel Based)</t>
  </si>
  <si>
    <t>Vehicle Operating Costs (Fuel Based)</t>
  </si>
  <si>
    <t>Truck (VOT and Reliability)</t>
  </si>
  <si>
    <t xml:space="preserve">Tourism </t>
  </si>
  <si>
    <t>Number of Accidents per Year 2016</t>
  </si>
  <si>
    <t>Shipment Growth Rate</t>
  </si>
  <si>
    <t>Residual Vlaue Estiamtion</t>
  </si>
  <si>
    <t>30 Crossing Capital Costs</t>
  </si>
  <si>
    <t>I-30 Bridge Cost</t>
  </si>
  <si>
    <t>Bridge Anticiapted Life after 2022 (Years)</t>
  </si>
  <si>
    <t>Bridge Anticiapted Life after 2042 (Years)</t>
  </si>
  <si>
    <t>Project Estiamted Annual Rehab Costs</t>
  </si>
  <si>
    <t>Operation Analysis Years</t>
  </si>
  <si>
    <t>Residual Value ($2016)</t>
  </si>
  <si>
    <t>Residual Value (3%)</t>
  </si>
  <si>
    <t>Residual Value (7%)</t>
  </si>
  <si>
    <t>Project Estiamted Total Rehab Costs (2016-2042 years)</t>
  </si>
  <si>
    <t>Residual Value of the I-30 Bridge</t>
  </si>
  <si>
    <t>Number of Maritime Accidents per Year affecting the I-30 Bridge Adjusted to maritime freight growth</t>
  </si>
  <si>
    <t>VOC (Fuel Cost in 2016$) (AAA)</t>
  </si>
  <si>
    <t>Total Imapcts</t>
  </si>
  <si>
    <t>VMT per User No-Build</t>
  </si>
  <si>
    <t>VMT per User Build</t>
  </si>
  <si>
    <t>- VOC for Autos (Fuel and Non-Fuel)</t>
  </si>
  <si>
    <t>- VOC for Trucks (Fuel and Non-Fuel)</t>
  </si>
  <si>
    <t>Estimated by CS based on vehicle operating costs provided by AAA, Your Driving Costs, 2016 Edition. See computations in "VOC" tab. Assumes average $0.091 cost of fuel per mile</t>
  </si>
  <si>
    <t>Build Total Cost ($2016)</t>
  </si>
  <si>
    <t>Sensitivity Analysis</t>
  </si>
  <si>
    <t>Alternative Analysis</t>
  </si>
  <si>
    <t>USDOT Value of Time</t>
  </si>
  <si>
    <t>Inflation Adjusted Tourism Spending</t>
  </si>
  <si>
    <t>Choose Active Alternative</t>
  </si>
  <si>
    <t>Choose Active Scenario</t>
  </si>
  <si>
    <t>Baseline Scenario</t>
  </si>
  <si>
    <t>Growth in Maritime Freight Shipping</t>
  </si>
  <si>
    <t>USDOT INFRA/TIGER AVO</t>
  </si>
  <si>
    <t>USDOT INFRA/TIGER VOT ($2016)</t>
  </si>
  <si>
    <t>Regional Values</t>
  </si>
  <si>
    <t>USDOT Values</t>
  </si>
  <si>
    <t>Average Day Trip Expenditures in 2016</t>
  </si>
  <si>
    <t>Infaltion Adjusted Tourism Spending</t>
  </si>
  <si>
    <t>CPI (2000-2016) = 2.09%</t>
  </si>
  <si>
    <t>Base Tourism Spending</t>
  </si>
  <si>
    <t>Infaltion Adjusted Spending</t>
  </si>
  <si>
    <t>Infaltion Adjusted Bridge/Channel Closure Costs</t>
  </si>
  <si>
    <t>Base Closure Costs</t>
  </si>
  <si>
    <t>Maritime Freight Flow Growth</t>
  </si>
  <si>
    <t>Freight Flow Growth</t>
  </si>
  <si>
    <t>Total Trucking Cost Savings</t>
  </si>
  <si>
    <t>Total Business Travel Cost Savings</t>
  </si>
  <si>
    <t>Total Maritime Transportation Cost Savings</t>
  </si>
  <si>
    <t>Total Changes due to Tourism Spending</t>
  </si>
  <si>
    <t>Total Changes due to O&amp;M Spending</t>
  </si>
  <si>
    <t>Total Changes due to Construction Spending</t>
  </si>
  <si>
    <t>Total Changes in Household Income</t>
  </si>
  <si>
    <t xml:space="preserve">                    (Alternatives Analysis Code 2, Sensitivity Analysis Code 1)</t>
  </si>
  <si>
    <t xml:space="preserve">D42-D51 refers to values calculated in the table above using the following inputs to the scenario table (H3 - I20) </t>
  </si>
  <si>
    <t>E42-E51 refers to values calculated in the table above using the following inputs to the scenario table (H3 - I20)</t>
  </si>
  <si>
    <t xml:space="preserve">                    (Alternatives Analysis Code 3, Sensitivity Analysis Code 1)</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</si>
</sst>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00"/>
    <numFmt numFmtId="166" formatCode="_(* #,##0_);_(* \(#,##0\);_(* &quot;-&quot;??_);_(@_)"/>
    <numFmt numFmtId="167" formatCode="_(* #,##0.0_);_(* \(#,##0.0\);_(* &quot;-&quot;??_);_(@_)"/>
    <numFmt numFmtId="168" formatCode="0.0%"/>
    <numFmt numFmtId="169" formatCode="_(* #,##0.000_);_(* \(#,##0.000\);_(* &quot;-&quot;??_);_(@_)"/>
    <numFmt numFmtId="170" formatCode="&quot;$&quot;#,##0"/>
    <numFmt numFmtId="171" formatCode="#,##0.000"/>
    <numFmt numFmtId="172" formatCode="#,##0.0"/>
    <numFmt numFmtId="173" formatCode="#,##0.0000"/>
    <numFmt numFmtId="174" formatCode="#,##0.00000"/>
    <numFmt numFmtId="175" formatCode="0.00000"/>
    <numFmt numFmtId="176" formatCode="_(* #,##0.00000_);_(* \(#,##0.00000\);_(* &quot;-&quot;??_);_(@_)"/>
    <numFmt numFmtId="177" formatCode="#0.0"/>
    <numFmt numFmtId="178" formatCode="#0.000"/>
    <numFmt numFmtId="179" formatCode="0.000%"/>
    <numFmt numFmtId="180" formatCode="0.0000"/>
    <numFmt numFmtId="181" formatCode="_(* #,##0.0000_);_(* \(#,##0.0000\);_(* &quot;-&quot;??_);_(@_)"/>
    <numFmt numFmtId="182" formatCode="#,##0.000_);\(#,##0.000\)"/>
    <numFmt numFmtId="183" formatCode="_(&quot;$&quot;* #,##0.0_);_(&quot;$&quot;* \(#,##0.0\);_(&quot;$&quot;* &quot;-&quot;??_);_(@_)"/>
    <numFmt numFmtId="184" formatCode="&quot;$&quot;#,##0.000"/>
    <numFmt numFmtId="185" formatCode="&quot;$&quot;#,##0.0000"/>
    <numFmt numFmtId="186" formatCode="_(* #,##0.0000_);_(* \(#,##0.0000\);_(* &quot;-&quot;????_);_(@_)"/>
    <numFmt numFmtId="187" formatCode="0.0000000000%"/>
    <numFmt numFmtId="188" formatCode="&quot;$&quot;#,##0.000_);\(&quot;$&quot;#,##0.000\)"/>
    <numFmt numFmtId="189" formatCode="#,##0.0000_);\(#,##0.0000\)"/>
    <numFmt numFmtId="190" formatCode="&quot;$&quot;#,##0.00"/>
    <numFmt numFmtId="191" formatCode="_(&quot;$&quot;* #,##0_);_(&quot;$&quot;* \(#,##0\);_(&quot;$&quot;* &quot;-&quot;??_);_(@_)"/>
  </numFmts>
  <fonts count="112" x14ac:knownFonts="1">
    <font>
      <sz val="11"/>
      <color theme="1"/>
      <name val="Calibri"/>
      <family val="2"/>
      <scheme val="minor"/>
    </font>
    <font>
      <sz val="11"/>
      <color theme="1"/>
      <name val="Calibri"/>
      <family val="2"/>
      <scheme val="minor"/>
    </font>
    <font>
      <sz val="10"/>
      <name val="Arial"/>
      <family val="2"/>
    </font>
    <font>
      <sz val="10"/>
      <name val="Arial"/>
      <family val="2"/>
    </font>
    <font>
      <sz val="10"/>
      <color rgb="FF9C0006"/>
      <name val="Calibri"/>
      <family val="2"/>
      <scheme val="minor"/>
    </font>
    <font>
      <sz val="10"/>
      <color theme="1"/>
      <name val="Arial"/>
      <family val="2"/>
    </font>
    <font>
      <sz val="10"/>
      <color rgb="FF3F3F76"/>
      <name val="Calibri"/>
      <family val="2"/>
      <scheme val="minor"/>
    </font>
    <font>
      <b/>
      <u/>
      <sz val="14"/>
      <color theme="1"/>
      <name val="Arial"/>
      <family val="2"/>
    </font>
    <font>
      <b/>
      <sz val="12"/>
      <color theme="1"/>
      <name val="Arial"/>
      <family val="2"/>
    </font>
    <font>
      <b/>
      <sz val="10"/>
      <color theme="1"/>
      <name val="Arial"/>
      <family val="2"/>
    </font>
    <font>
      <sz val="12"/>
      <color theme="1"/>
      <name val="Calibri"/>
      <family val="2"/>
      <scheme val="minor"/>
    </font>
    <font>
      <sz val="12"/>
      <name val="Times New Roman"/>
      <family val="1"/>
    </font>
    <font>
      <b/>
      <sz val="10"/>
      <color rgb="FFFF0000"/>
      <name val="Arial"/>
      <family val="2"/>
    </font>
    <font>
      <b/>
      <sz val="14"/>
      <color theme="1"/>
      <name val="Arial"/>
      <family val="2"/>
    </font>
    <font>
      <b/>
      <sz val="10"/>
      <name val="Arial"/>
      <family val="2"/>
    </font>
    <font>
      <b/>
      <sz val="10"/>
      <color indexed="8"/>
      <name val="Arial"/>
      <family val="2"/>
    </font>
    <font>
      <b/>
      <u/>
      <sz val="10"/>
      <color theme="1"/>
      <name val="Arial"/>
      <family val="2"/>
    </font>
    <font>
      <sz val="12"/>
      <color theme="1"/>
      <name val="Arial"/>
      <family val="2"/>
    </font>
    <font>
      <b/>
      <i/>
      <sz val="10"/>
      <color theme="1"/>
      <name val="Arial"/>
      <family val="2"/>
    </font>
    <font>
      <b/>
      <i/>
      <sz val="10"/>
      <name val="Arial"/>
      <family val="2"/>
    </font>
    <font>
      <b/>
      <sz val="11"/>
      <color theme="1"/>
      <name val="Arial"/>
      <family val="2"/>
    </font>
    <font>
      <b/>
      <sz val="11"/>
      <color theme="0"/>
      <name val="Calibri"/>
      <family val="2"/>
      <scheme val="minor"/>
    </font>
    <font>
      <b/>
      <sz val="11"/>
      <color theme="1"/>
      <name val="Calibri"/>
      <family val="2"/>
      <scheme val="minor"/>
    </font>
    <font>
      <b/>
      <sz val="12"/>
      <color indexed="8"/>
      <name val="Arial"/>
      <family val="2"/>
    </font>
    <font>
      <sz val="10"/>
      <color indexed="8"/>
      <name val="Arial"/>
      <family val="2"/>
    </font>
    <font>
      <sz val="11"/>
      <color indexed="8"/>
      <name val="Calibri"/>
      <family val="2"/>
      <scheme val="minor"/>
    </font>
    <font>
      <b/>
      <sz val="11"/>
      <color indexed="8"/>
      <name val="Calibri"/>
      <family val="2"/>
      <scheme val="minor"/>
    </font>
    <font>
      <b/>
      <sz val="11"/>
      <color theme="3"/>
      <name val="Arial"/>
      <family val="2"/>
    </font>
    <font>
      <vertAlign val="subscript"/>
      <sz val="10"/>
      <color theme="1"/>
      <name val="Calibri"/>
      <family val="2"/>
      <scheme val="minor"/>
    </font>
    <font>
      <vertAlign val="subscript"/>
      <sz val="11"/>
      <color theme="1"/>
      <name val="Calibri"/>
      <family val="2"/>
      <scheme val="minor"/>
    </font>
    <font>
      <i/>
      <sz val="11"/>
      <color theme="1"/>
      <name val="Calibri"/>
      <family val="2"/>
      <scheme val="minor"/>
    </font>
    <font>
      <b/>
      <sz val="10"/>
      <color theme="3"/>
      <name val="Arial"/>
      <family val="2"/>
    </font>
    <font>
      <b/>
      <sz val="11"/>
      <name val="Calibri"/>
      <family val="2"/>
      <scheme val="minor"/>
    </font>
    <font>
      <b/>
      <sz val="14"/>
      <color theme="4" tint="-0.499984740745262"/>
      <name val="Calibri"/>
      <family val="2"/>
      <scheme val="minor"/>
    </font>
    <font>
      <b/>
      <sz val="14"/>
      <color theme="1"/>
      <name val="Calibri"/>
      <family val="2"/>
      <scheme val="minor"/>
    </font>
    <font>
      <sz val="11"/>
      <name val="Calibri"/>
      <family val="2"/>
      <scheme val="minor"/>
    </font>
    <font>
      <sz val="11"/>
      <color rgb="FF1F497D"/>
      <name val="Calibri"/>
      <family val="2"/>
      <scheme val="minor"/>
    </font>
    <font>
      <b/>
      <sz val="10"/>
      <color theme="1"/>
      <name val="Calibri"/>
      <family val="2"/>
      <scheme val="minor"/>
    </font>
    <font>
      <u/>
      <sz val="11"/>
      <color theme="10"/>
      <name val="Calibri"/>
      <family val="2"/>
      <scheme val="minor"/>
    </font>
    <font>
      <sz val="10"/>
      <color theme="1"/>
      <name val="Calibri"/>
      <family val="2"/>
      <scheme val="minor"/>
    </font>
    <font>
      <b/>
      <sz val="10"/>
      <name val="Calibri"/>
      <family val="2"/>
      <scheme val="minor"/>
    </font>
    <font>
      <b/>
      <sz val="12"/>
      <color theme="1"/>
      <name val="Calibri"/>
      <family val="2"/>
      <scheme val="minor"/>
    </font>
    <font>
      <b/>
      <sz val="16"/>
      <color theme="0"/>
      <name val="Calibri"/>
      <family val="2"/>
      <scheme val="minor"/>
    </font>
    <font>
      <b/>
      <sz val="16"/>
      <color theme="1"/>
      <name val="Calibri"/>
      <family val="2"/>
      <scheme val="minor"/>
    </font>
    <font>
      <sz val="11"/>
      <color rgb="FF000000"/>
      <name val="Calibri"/>
      <family val="2"/>
      <scheme val="minor"/>
    </font>
    <font>
      <sz val="11"/>
      <color theme="1"/>
      <name val="Arial"/>
      <family val="2"/>
    </font>
    <font>
      <sz val="11"/>
      <color rgb="FF006100"/>
      <name val="Calibri"/>
      <family val="2"/>
      <scheme val="minor"/>
    </font>
    <font>
      <sz val="11"/>
      <color rgb="FF9C6500"/>
      <name val="Calibri"/>
      <family val="2"/>
      <scheme val="minor"/>
    </font>
    <font>
      <sz val="11"/>
      <color rgb="FF3F3F76"/>
      <name val="Calibri"/>
      <family val="2"/>
      <scheme val="minor"/>
    </font>
    <font>
      <sz val="11"/>
      <color theme="0"/>
      <name val="Calibri"/>
      <family val="2"/>
      <scheme val="minor"/>
    </font>
    <font>
      <b/>
      <sz val="11"/>
      <color theme="4" tint="-0.499984740745262"/>
      <name val="Calibri"/>
      <family val="2"/>
      <scheme val="minor"/>
    </font>
    <font>
      <b/>
      <sz val="14"/>
      <color rgb="FF006100"/>
      <name val="Calibri"/>
      <family val="2"/>
      <scheme val="minor"/>
    </font>
    <font>
      <b/>
      <sz val="11"/>
      <color rgb="FF000000"/>
      <name val="Calibri"/>
      <family val="2"/>
      <scheme val="minor"/>
    </font>
    <font>
      <b/>
      <sz val="14"/>
      <color theme="3"/>
      <name val="Arial"/>
      <family val="2"/>
    </font>
    <font>
      <sz val="10"/>
      <color rgb="FF000000"/>
      <name val="Arial"/>
      <family val="2"/>
    </font>
    <font>
      <b/>
      <sz val="10"/>
      <color rgb="FF000000"/>
      <name val="Arial"/>
      <family val="2"/>
    </font>
    <font>
      <b/>
      <sz val="11"/>
      <color theme="0"/>
      <name val="Arial"/>
      <family val="2"/>
    </font>
    <font>
      <i/>
      <sz val="11"/>
      <color theme="1"/>
      <name val="Arial"/>
      <family val="2"/>
    </font>
    <font>
      <i/>
      <sz val="10"/>
      <color theme="1"/>
      <name val="Arial"/>
      <family val="2"/>
    </font>
    <font>
      <b/>
      <sz val="20"/>
      <color theme="1"/>
      <name val="Calibri"/>
      <family val="2"/>
      <scheme val="minor"/>
    </font>
    <font>
      <b/>
      <i/>
      <sz val="14"/>
      <color indexed="16"/>
      <name val="Arial"/>
      <family val="2"/>
    </font>
    <font>
      <sz val="10"/>
      <color indexed="16"/>
      <name val="Arial"/>
      <family val="2"/>
    </font>
    <font>
      <i/>
      <sz val="10"/>
      <name val="Arial"/>
      <family val="2"/>
    </font>
    <font>
      <b/>
      <sz val="10"/>
      <color indexed="18"/>
      <name val="Arial"/>
      <family val="2"/>
    </font>
    <font>
      <sz val="10"/>
      <color indexed="25"/>
      <name val="Arial"/>
      <family val="2"/>
    </font>
    <font>
      <u/>
      <sz val="10"/>
      <color theme="1"/>
      <name val="Arial"/>
      <family val="2"/>
    </font>
    <font>
      <b/>
      <sz val="16"/>
      <name val="Calibri"/>
      <family val="2"/>
      <scheme val="minor"/>
    </font>
    <font>
      <b/>
      <sz val="12"/>
      <color theme="0"/>
      <name val="Calibri"/>
      <family val="2"/>
      <scheme val="minor"/>
    </font>
    <font>
      <sz val="11"/>
      <color rgb="FF000000"/>
      <name val="Calibri"/>
      <family val="2"/>
    </font>
    <font>
      <b/>
      <sz val="20"/>
      <color theme="1"/>
      <name val="Arial"/>
      <family val="2"/>
    </font>
    <font>
      <b/>
      <sz val="9"/>
      <color rgb="FF0F2887"/>
      <name val="Arial"/>
      <family val="2"/>
    </font>
    <font>
      <b/>
      <sz val="9"/>
      <color rgb="FF0070C0"/>
      <name val="Arial"/>
      <family val="2"/>
    </font>
    <font>
      <sz val="9"/>
      <color theme="1"/>
      <name val="Arial"/>
      <family val="2"/>
    </font>
    <font>
      <b/>
      <sz val="9"/>
      <color theme="1"/>
      <name val="Arial"/>
      <family val="2"/>
    </font>
    <font>
      <b/>
      <sz val="9"/>
      <color rgb="FF000000"/>
      <name val="Arial"/>
      <family val="2"/>
    </font>
    <font>
      <sz val="9"/>
      <color rgb="FFFF0000"/>
      <name val="Arial"/>
      <family val="2"/>
    </font>
    <font>
      <b/>
      <sz val="12"/>
      <color rgb="FF0F2887"/>
      <name val="Arial"/>
      <family val="2"/>
    </font>
    <font>
      <b/>
      <sz val="16"/>
      <color theme="1"/>
      <name val="Arial"/>
      <family val="2"/>
    </font>
    <font>
      <b/>
      <sz val="16"/>
      <color theme="0"/>
      <name val="Arial"/>
      <family val="2"/>
    </font>
    <font>
      <b/>
      <sz val="12"/>
      <color rgb="FF0070C0"/>
      <name val="Arial"/>
      <family val="2"/>
    </font>
    <font>
      <sz val="14"/>
      <color theme="1"/>
      <name val="Arial"/>
      <family val="2"/>
    </font>
    <font>
      <b/>
      <sz val="12"/>
      <name val="Arial"/>
      <family val="2"/>
    </font>
    <font>
      <b/>
      <sz val="11"/>
      <color rgb="FF0F2887"/>
      <name val="Arial"/>
      <family val="2"/>
    </font>
    <font>
      <sz val="16"/>
      <color theme="1"/>
      <name val="Arial"/>
      <family val="2"/>
    </font>
    <font>
      <b/>
      <sz val="18"/>
      <color theme="1"/>
      <name val="Arial"/>
      <family val="2"/>
    </font>
    <font>
      <b/>
      <sz val="16"/>
      <color rgb="FFFFFF00"/>
      <name val="Arial"/>
      <family val="2"/>
    </font>
    <font>
      <b/>
      <sz val="20"/>
      <color rgb="FFFFFF00"/>
      <name val="Arial"/>
      <family val="2"/>
    </font>
    <font>
      <b/>
      <sz val="20"/>
      <color theme="0"/>
      <name val="Arial"/>
      <family val="2"/>
    </font>
    <font>
      <b/>
      <sz val="18"/>
      <name val="Arial"/>
      <family val="2"/>
    </font>
    <font>
      <sz val="20"/>
      <color theme="1"/>
      <name val="Arial"/>
      <family val="2"/>
    </font>
    <font>
      <b/>
      <vertAlign val="subscript"/>
      <sz val="20"/>
      <color rgb="FFFFFF00"/>
      <name val="Arial"/>
      <family val="2"/>
    </font>
    <font>
      <b/>
      <vertAlign val="subscript"/>
      <sz val="18"/>
      <name val="Arial"/>
      <family val="2"/>
    </font>
    <font>
      <vertAlign val="subscript"/>
      <sz val="11"/>
      <color theme="1"/>
      <name val="Arial"/>
      <family val="2"/>
    </font>
    <font>
      <b/>
      <vertAlign val="subscript"/>
      <sz val="20"/>
      <name val="Arial"/>
      <family val="2"/>
    </font>
    <font>
      <b/>
      <sz val="20"/>
      <name val="Arial"/>
      <family val="2"/>
    </font>
    <font>
      <vertAlign val="subscript"/>
      <sz val="10"/>
      <color theme="1"/>
      <name val="Arial"/>
      <family val="2"/>
    </font>
    <font>
      <b/>
      <sz val="18"/>
      <color theme="0"/>
      <name val="Arial"/>
      <family val="2"/>
    </font>
    <font>
      <b/>
      <vertAlign val="subscript"/>
      <sz val="20"/>
      <color theme="1"/>
      <name val="Arial"/>
      <family val="2"/>
    </font>
    <font>
      <b/>
      <vertAlign val="subscript"/>
      <sz val="20"/>
      <color theme="0"/>
      <name val="Arial"/>
      <family val="2"/>
    </font>
    <font>
      <b/>
      <vertAlign val="subscript"/>
      <sz val="16"/>
      <color theme="1"/>
      <name val="Arial"/>
      <family val="2"/>
    </font>
    <font>
      <b/>
      <sz val="14"/>
      <color rgb="FF000000"/>
      <name val="Arial"/>
      <family val="2"/>
    </font>
    <font>
      <sz val="8"/>
      <color theme="1"/>
      <name val="Arial"/>
      <family val="2"/>
    </font>
    <font>
      <sz val="10"/>
      <color theme="0"/>
      <name val="Calibri"/>
      <family val="2"/>
      <scheme val="minor"/>
    </font>
    <font>
      <sz val="10"/>
      <name val="Calibri"/>
      <family val="2"/>
      <scheme val="minor"/>
    </font>
    <font>
      <b/>
      <sz val="10"/>
      <color rgb="FF0193D7"/>
      <name val="Arial"/>
      <family val="2"/>
    </font>
    <font>
      <b/>
      <sz val="11"/>
      <color rgb="FF000000"/>
      <name val="Calibri"/>
      <family val="2"/>
    </font>
    <font>
      <b/>
      <sz val="14"/>
      <color rgb="FF0F2887"/>
      <name val="Arial"/>
      <family val="2"/>
    </font>
    <font>
      <sz val="11"/>
      <color rgb="FF9C6500"/>
      <name val="Arial"/>
      <family val="2"/>
    </font>
    <font>
      <b/>
      <sz val="11"/>
      <name val="Arial"/>
      <family val="2"/>
    </font>
    <font>
      <sz val="11"/>
      <name val="Arial"/>
      <family val="2"/>
    </font>
    <font>
      <sz val="10"/>
      <color theme="1"/>
      <name val="Wingdings 2"/>
      <family val="1"/>
      <charset val="2"/>
    </font>
    <font>
      <b/>
      <sz val="16"/>
      <color rgb="FFFF0000"/>
      <name val="Calibri"/>
      <family val="2"/>
      <scheme val="minor"/>
    </font>
  </fonts>
  <fills count="43">
    <fill>
      <patternFill patternType="none"/>
    </fill>
    <fill>
      <patternFill patternType="gray125"/>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0.499984740745262"/>
        <bgColor indexed="64"/>
      </patternFill>
    </fill>
    <fill>
      <patternFill patternType="solid">
        <fgColor rgb="FFFFC7CE"/>
      </patternFill>
    </fill>
    <fill>
      <patternFill patternType="solid">
        <fgColor rgb="FFFFCC99"/>
      </patternFill>
    </fill>
    <fill>
      <patternFill patternType="solid">
        <fgColor rgb="FFFFFF00"/>
        <bgColor indexed="64"/>
      </patternFill>
    </fill>
    <fill>
      <patternFill patternType="solid">
        <fgColor rgb="FFFFFFCC"/>
      </patternFill>
    </fill>
    <fill>
      <patternFill patternType="solid">
        <fgColor theme="1"/>
        <bgColor indexed="64"/>
      </patternFill>
    </fill>
    <fill>
      <patternFill patternType="solid">
        <fgColor theme="4" tint="-0.49998474074526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1" tint="4.9989318521683403E-2"/>
        <bgColor indexed="64"/>
      </patternFill>
    </fill>
    <fill>
      <patternFill patternType="solid">
        <fgColor rgb="FFBFBFBF"/>
        <bgColor indexed="64"/>
      </patternFill>
    </fill>
    <fill>
      <patternFill patternType="solid">
        <fgColor theme="6" tint="-0.249977111117893"/>
        <bgColor indexed="64"/>
      </patternFill>
    </fill>
    <fill>
      <patternFill patternType="solid">
        <fgColor rgb="FFC6EFCE"/>
      </patternFill>
    </fill>
    <fill>
      <patternFill patternType="solid">
        <fgColor rgb="FFFFEB9C"/>
      </patternFill>
    </fill>
    <fill>
      <patternFill patternType="solid">
        <fgColor theme="6"/>
      </patternFill>
    </fill>
    <fill>
      <patternFill patternType="solid">
        <fgColor theme="7" tint="0.59999389629810485"/>
        <bgColor indexed="64"/>
      </patternFill>
    </fill>
    <fill>
      <patternFill patternType="solid">
        <fgColor indexed="26"/>
        <bgColor indexed="64"/>
      </patternFill>
    </fill>
    <fill>
      <patternFill patternType="solid">
        <fgColor theme="6"/>
        <bgColor indexed="64"/>
      </patternFill>
    </fill>
    <fill>
      <patternFill patternType="solid">
        <fgColor theme="4" tint="-0.249977111117893"/>
        <bgColor indexed="64"/>
      </patternFill>
    </fill>
    <fill>
      <patternFill patternType="solid">
        <fgColor rgb="FFD0D8E8"/>
        <bgColor indexed="64"/>
      </patternFill>
    </fill>
    <fill>
      <patternFill patternType="solid">
        <fgColor theme="8" tint="0.79998168889431442"/>
        <bgColor indexed="64"/>
      </patternFill>
    </fill>
    <fill>
      <patternFill patternType="solid">
        <fgColor rgb="FFFFC000"/>
        <bgColor indexed="64"/>
      </patternFill>
    </fill>
    <fill>
      <patternFill patternType="solid">
        <fgColor rgb="FF00206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E9EDF4"/>
        <bgColor indexed="64"/>
      </patternFill>
    </fill>
  </fills>
  <borders count="9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right/>
      <top/>
      <bottom style="thick">
        <color auto="1"/>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hair">
        <color indexed="64"/>
      </left>
      <right style="hair">
        <color indexed="64"/>
      </right>
      <top style="hair">
        <color indexed="64"/>
      </top>
      <bottom style="hair">
        <color indexed="64"/>
      </bottom>
      <diagonal/>
    </border>
    <border>
      <left style="double">
        <color indexed="64"/>
      </left>
      <right/>
      <top/>
      <bottom/>
      <diagonal/>
    </border>
    <border>
      <left/>
      <right style="double">
        <color indexed="64"/>
      </right>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s>
  <cellStyleXfs count="117">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xf numFmtId="44" fontId="2"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1" fillId="0" borderId="0" applyFont="0" applyFill="0" applyBorder="0" applyAlignment="0" applyProtection="0"/>
    <xf numFmtId="0" fontId="1"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4" fillId="13" borderId="0" applyNumberFormat="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6" fillId="14" borderId="2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5" fillId="0" borderId="0"/>
    <xf numFmtId="0" fontId="1" fillId="0" borderId="0"/>
    <xf numFmtId="0" fontId="1"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10" fillId="0" borderId="0"/>
    <xf numFmtId="43" fontId="10" fillId="0" borderId="0" applyFont="0" applyFill="0" applyBorder="0" applyAlignment="0" applyProtection="0"/>
    <xf numFmtId="0" fontId="11" fillId="0" borderId="0"/>
    <xf numFmtId="0" fontId="2" fillId="0" borderId="0"/>
    <xf numFmtId="41"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16" borderId="2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8" fillId="0" borderId="0" applyNumberFormat="0" applyFill="0" applyBorder="0" applyAlignment="0" applyProtection="0"/>
    <xf numFmtId="0" fontId="46" fillId="29" borderId="0" applyNumberFormat="0" applyBorder="0" applyAlignment="0" applyProtection="0"/>
    <xf numFmtId="0" fontId="47" fillId="30" borderId="0" applyNumberFormat="0" applyBorder="0" applyAlignment="0" applyProtection="0"/>
    <xf numFmtId="0" fontId="48" fillId="14" borderId="21" applyNumberFormat="0" applyAlignment="0" applyProtection="0"/>
    <xf numFmtId="0" fontId="1" fillId="16" borderId="29" applyNumberFormat="0" applyFont="0" applyAlignment="0" applyProtection="0"/>
    <xf numFmtId="0" fontId="49" fillId="31" borderId="0" applyNumberFormat="0" applyBorder="0" applyAlignment="0" applyProtection="0"/>
  </cellStyleXfs>
  <cellXfs count="2000">
    <xf numFmtId="0" fontId="0" fillId="0" borderId="0" xfId="0"/>
    <xf numFmtId="0" fontId="5" fillId="0" borderId="0" xfId="0" applyFont="1" applyAlignment="1">
      <alignment vertical="top"/>
    </xf>
    <xf numFmtId="0" fontId="8" fillId="10" borderId="17" xfId="0" applyFont="1" applyFill="1" applyBorder="1" applyAlignment="1">
      <alignment horizontal="center" vertical="top"/>
    </xf>
    <xf numFmtId="0" fontId="8" fillId="10" borderId="18" xfId="0" applyFont="1" applyFill="1" applyBorder="1" applyAlignment="1">
      <alignment horizontal="center" vertical="top"/>
    </xf>
    <xf numFmtId="0" fontId="8" fillId="10" borderId="19" xfId="0" applyFont="1" applyFill="1" applyBorder="1" applyAlignment="1">
      <alignment horizontal="center" vertical="top"/>
    </xf>
    <xf numFmtId="0" fontId="9" fillId="10" borderId="18" xfId="0" applyFont="1" applyFill="1" applyBorder="1" applyAlignment="1">
      <alignment horizontal="center" vertical="top"/>
    </xf>
    <xf numFmtId="0" fontId="9" fillId="0" borderId="0" xfId="0" applyFont="1" applyAlignment="1">
      <alignment vertical="top"/>
    </xf>
    <xf numFmtId="0" fontId="8" fillId="8" borderId="17" xfId="0" applyFont="1" applyFill="1" applyBorder="1" applyAlignment="1">
      <alignment vertical="top"/>
    </xf>
    <xf numFmtId="0" fontId="5" fillId="8" borderId="18" xfId="0" applyFont="1" applyFill="1" applyBorder="1" applyAlignment="1">
      <alignment vertical="top"/>
    </xf>
    <xf numFmtId="0" fontId="5" fillId="2" borderId="0" xfId="0" applyFont="1" applyFill="1" applyBorder="1" applyAlignment="1">
      <alignment vertical="top"/>
    </xf>
    <xf numFmtId="0" fontId="9" fillId="2" borderId="10" xfId="0" applyFont="1" applyFill="1" applyBorder="1" applyAlignment="1">
      <alignment vertical="top"/>
    </xf>
    <xf numFmtId="0" fontId="9" fillId="2" borderId="0" xfId="0" applyFont="1" applyFill="1" applyBorder="1" applyAlignment="1">
      <alignment vertical="top"/>
    </xf>
    <xf numFmtId="0" fontId="9" fillId="2" borderId="14" xfId="0" applyFont="1" applyFill="1" applyBorder="1" applyAlignment="1">
      <alignment vertical="top"/>
    </xf>
    <xf numFmtId="0" fontId="9" fillId="2" borderId="10" xfId="0" applyFont="1" applyFill="1" applyBorder="1" applyAlignment="1">
      <alignment vertical="top" wrapText="1"/>
    </xf>
    <xf numFmtId="0" fontId="2" fillId="0" borderId="0" xfId="14" applyFont="1" applyAlignment="1">
      <alignment vertical="top"/>
    </xf>
    <xf numFmtId="0" fontId="5" fillId="0" borderId="0" xfId="74" applyFont="1" applyAlignment="1">
      <alignment vertical="top"/>
    </xf>
    <xf numFmtId="0" fontId="2" fillId="0" borderId="0" xfId="14" applyFont="1" applyBorder="1" applyAlignment="1">
      <alignment vertical="top"/>
    </xf>
    <xf numFmtId="0" fontId="9" fillId="6" borderId="10" xfId="0" applyFont="1" applyFill="1" applyBorder="1" applyAlignment="1">
      <alignment vertical="top" wrapText="1"/>
    </xf>
    <xf numFmtId="0" fontId="2" fillId="0" borderId="0" xfId="5" applyFont="1" applyAlignment="1">
      <alignment vertical="top"/>
    </xf>
    <xf numFmtId="0" fontId="9" fillId="8" borderId="18" xfId="0" applyFont="1" applyFill="1" applyBorder="1" applyAlignment="1">
      <alignment vertical="top"/>
    </xf>
    <xf numFmtId="0" fontId="9" fillId="8" borderId="19" xfId="0" applyFont="1" applyFill="1" applyBorder="1" applyAlignment="1">
      <alignment vertical="top"/>
    </xf>
    <xf numFmtId="0" fontId="2" fillId="0" borderId="0" xfId="5" applyFont="1" applyAlignment="1">
      <alignment vertical="top" wrapText="1"/>
    </xf>
    <xf numFmtId="0" fontId="9" fillId="2" borderId="6" xfId="0" applyFont="1" applyFill="1" applyBorder="1" applyAlignment="1">
      <alignment vertical="top"/>
    </xf>
    <xf numFmtId="0" fontId="9" fillId="2" borderId="7" xfId="0" applyFont="1" applyFill="1" applyBorder="1" applyAlignment="1">
      <alignment vertical="top"/>
    </xf>
    <xf numFmtId="0" fontId="14" fillId="2" borderId="10" xfId="5" applyFont="1" applyFill="1" applyBorder="1" applyAlignment="1">
      <alignment vertical="top" wrapText="1"/>
    </xf>
    <xf numFmtId="0" fontId="9" fillId="3" borderId="18" xfId="0" applyFont="1" applyFill="1" applyBorder="1" applyAlignment="1">
      <alignment vertical="top"/>
    </xf>
    <xf numFmtId="0" fontId="9" fillId="6" borderId="6" xfId="0" applyFont="1" applyFill="1" applyBorder="1" applyAlignment="1">
      <alignment vertical="top"/>
    </xf>
    <xf numFmtId="0" fontId="9" fillId="6" borderId="7" xfId="0" applyFont="1" applyFill="1" applyBorder="1" applyAlignment="1">
      <alignment vertical="top"/>
    </xf>
    <xf numFmtId="43" fontId="9" fillId="6" borderId="0" xfId="0" applyNumberFormat="1" applyFont="1" applyFill="1" applyBorder="1" applyAlignment="1">
      <alignment vertical="top"/>
    </xf>
    <xf numFmtId="0" fontId="9" fillId="6" borderId="0" xfId="0" applyFont="1" applyFill="1" applyBorder="1" applyAlignment="1">
      <alignment vertical="top" wrapText="1"/>
    </xf>
    <xf numFmtId="166" fontId="9" fillId="2" borderId="8" xfId="1" applyNumberFormat="1" applyFont="1" applyFill="1" applyBorder="1" applyAlignment="1">
      <alignment vertical="top"/>
    </xf>
    <xf numFmtId="43" fontId="9" fillId="2" borderId="0" xfId="1" applyNumberFormat="1" applyFont="1" applyFill="1" applyBorder="1" applyAlignment="1">
      <alignment vertical="top"/>
    </xf>
    <xf numFmtId="0" fontId="9" fillId="2" borderId="0" xfId="0" applyFont="1" applyFill="1" applyBorder="1" applyAlignment="1">
      <alignment vertical="top" wrapText="1"/>
    </xf>
    <xf numFmtId="0" fontId="9" fillId="2" borderId="13" xfId="0" applyFont="1" applyFill="1" applyBorder="1" applyAlignment="1">
      <alignment vertical="top"/>
    </xf>
    <xf numFmtId="166" fontId="9" fillId="2" borderId="15" xfId="1" applyNumberFormat="1" applyFont="1" applyFill="1" applyBorder="1" applyAlignment="1">
      <alignment vertical="top"/>
    </xf>
    <xf numFmtId="0" fontId="9" fillId="2" borderId="13" xfId="0" applyFont="1" applyFill="1" applyBorder="1" applyAlignment="1">
      <alignment vertical="top" wrapText="1"/>
    </xf>
    <xf numFmtId="166" fontId="9" fillId="2" borderId="14" xfId="0" applyNumberFormat="1" applyFont="1" applyFill="1" applyBorder="1" applyAlignment="1">
      <alignment vertical="top"/>
    </xf>
    <xf numFmtId="166" fontId="9" fillId="6" borderId="0" xfId="1" applyNumberFormat="1" applyFont="1" applyFill="1" applyBorder="1" applyAlignment="1">
      <alignment vertical="top"/>
    </xf>
    <xf numFmtId="166" fontId="9" fillId="6" borderId="0" xfId="0" applyNumberFormat="1" applyFont="1" applyFill="1" applyBorder="1" applyAlignment="1">
      <alignment vertical="top"/>
    </xf>
    <xf numFmtId="166" fontId="9" fillId="2" borderId="0" xfId="1" applyNumberFormat="1" applyFont="1" applyFill="1" applyBorder="1" applyAlignment="1">
      <alignment vertical="top"/>
    </xf>
    <xf numFmtId="0" fontId="16" fillId="0" borderId="0" xfId="0" applyFont="1" applyAlignment="1">
      <alignment vertical="top"/>
    </xf>
    <xf numFmtId="0" fontId="5" fillId="0" borderId="0" xfId="0" applyFont="1" applyAlignment="1">
      <alignment vertical="top" wrapText="1"/>
    </xf>
    <xf numFmtId="0" fontId="14" fillId="8" borderId="18" xfId="5" applyFont="1" applyFill="1" applyBorder="1" applyAlignment="1">
      <alignment vertical="top"/>
    </xf>
    <xf numFmtId="0" fontId="14" fillId="8" borderId="18" xfId="5" applyFont="1" applyFill="1" applyBorder="1" applyAlignment="1">
      <alignment vertical="top" wrapText="1"/>
    </xf>
    <xf numFmtId="0" fontId="14" fillId="8" borderId="19" xfId="5" applyFont="1" applyFill="1" applyBorder="1" applyAlignment="1">
      <alignment vertical="top" wrapText="1"/>
    </xf>
    <xf numFmtId="9" fontId="9" fillId="2" borderId="0" xfId="0" applyNumberFormat="1" applyFont="1" applyFill="1" applyBorder="1" applyAlignment="1">
      <alignment vertical="top"/>
    </xf>
    <xf numFmtId="0" fontId="14" fillId="2" borderId="0" xfId="5" applyFont="1" applyFill="1" applyBorder="1" applyAlignment="1">
      <alignment vertical="top"/>
    </xf>
    <xf numFmtId="0" fontId="14" fillId="2" borderId="0" xfId="5" applyFont="1" applyFill="1" applyBorder="1" applyAlignment="1">
      <alignment vertical="top" wrapText="1"/>
    </xf>
    <xf numFmtId="0" fontId="9" fillId="2" borderId="11" xfId="0" applyFont="1" applyFill="1" applyBorder="1" applyAlignment="1">
      <alignment vertical="top" wrapText="1"/>
    </xf>
    <xf numFmtId="0" fontId="14" fillId="2" borderId="0" xfId="5" applyFont="1" applyFill="1" applyBorder="1" applyAlignment="1">
      <alignment horizontal="right" vertical="top"/>
    </xf>
    <xf numFmtId="0" fontId="14" fillId="2" borderId="11" xfId="5" applyFont="1" applyFill="1" applyBorder="1" applyAlignment="1">
      <alignment vertical="top" wrapText="1"/>
    </xf>
    <xf numFmtId="0" fontId="14" fillId="2" borderId="14" xfId="5" applyFont="1" applyFill="1" applyBorder="1" applyAlignment="1">
      <alignment vertical="top" wrapText="1"/>
    </xf>
    <xf numFmtId="0" fontId="14" fillId="2" borderId="15" xfId="5" applyFont="1" applyFill="1" applyBorder="1" applyAlignment="1">
      <alignment vertical="top" wrapText="1"/>
    </xf>
    <xf numFmtId="0" fontId="14" fillId="3" borderId="18" xfId="5" applyFont="1" applyFill="1" applyBorder="1" applyAlignment="1">
      <alignment vertical="top"/>
    </xf>
    <xf numFmtId="0" fontId="14" fillId="3" borderId="18" xfId="5" applyFont="1" applyFill="1" applyBorder="1" applyAlignment="1">
      <alignment vertical="top" wrapText="1"/>
    </xf>
    <xf numFmtId="0" fontId="14" fillId="3" borderId="19" xfId="5" applyFont="1" applyFill="1" applyBorder="1" applyAlignment="1">
      <alignment vertical="top" wrapText="1"/>
    </xf>
    <xf numFmtId="0" fontId="14" fillId="6" borderId="10" xfId="5" applyFont="1" applyFill="1" applyBorder="1" applyAlignment="1">
      <alignment vertical="top" wrapText="1"/>
    </xf>
    <xf numFmtId="0" fontId="9" fillId="6" borderId="11" xfId="0" applyFont="1" applyFill="1" applyBorder="1" applyAlignment="1">
      <alignment vertical="top" wrapText="1"/>
    </xf>
    <xf numFmtId="0" fontId="2" fillId="12" borderId="0" xfId="5" applyFont="1" applyFill="1" applyAlignment="1">
      <alignment vertical="top"/>
    </xf>
    <xf numFmtId="0" fontId="9" fillId="6" borderId="14" xfId="0" applyFont="1" applyFill="1" applyBorder="1" applyAlignment="1">
      <alignment vertical="top" wrapText="1"/>
    </xf>
    <xf numFmtId="0" fontId="9" fillId="6" borderId="15" xfId="0" applyFont="1" applyFill="1" applyBorder="1" applyAlignment="1">
      <alignment vertical="top" wrapText="1"/>
    </xf>
    <xf numFmtId="0" fontId="16" fillId="0" borderId="0" xfId="0" applyFont="1" applyAlignment="1">
      <alignment horizontal="center" vertical="top" wrapText="1"/>
    </xf>
    <xf numFmtId="1" fontId="5" fillId="0" borderId="0" xfId="0" applyNumberFormat="1" applyFont="1" applyAlignment="1">
      <alignment vertical="top"/>
    </xf>
    <xf numFmtId="0" fontId="5" fillId="8" borderId="18" xfId="0" applyFont="1" applyFill="1" applyBorder="1" applyAlignment="1">
      <alignment vertical="top" wrapText="1"/>
    </xf>
    <xf numFmtId="0" fontId="5" fillId="8" borderId="19" xfId="0" applyFont="1" applyFill="1" applyBorder="1" applyAlignment="1">
      <alignment vertical="top" wrapText="1"/>
    </xf>
    <xf numFmtId="165" fontId="2" fillId="0" borderId="0" xfId="0" applyNumberFormat="1" applyFont="1" applyAlignment="1">
      <alignment horizontal="right" vertical="top"/>
    </xf>
    <xf numFmtId="0" fontId="5" fillId="2" borderId="0" xfId="0" applyFont="1" applyFill="1" applyBorder="1" applyAlignment="1">
      <alignment vertical="top" wrapText="1"/>
    </xf>
    <xf numFmtId="0" fontId="5" fillId="2" borderId="11" xfId="0" applyFont="1" applyFill="1" applyBorder="1" applyAlignment="1">
      <alignment vertical="top" wrapText="1"/>
    </xf>
    <xf numFmtId="9" fontId="9" fillId="2" borderId="14" xfId="0" applyNumberFormat="1" applyFont="1" applyFill="1" applyBorder="1" applyAlignment="1">
      <alignment vertical="top"/>
    </xf>
    <xf numFmtId="0" fontId="9" fillId="2" borderId="15" xfId="0" applyFont="1" applyFill="1" applyBorder="1" applyAlignment="1">
      <alignment vertical="top" wrapText="1"/>
    </xf>
    <xf numFmtId="0" fontId="9" fillId="3" borderId="7" xfId="0" applyFont="1" applyFill="1" applyBorder="1" applyAlignment="1">
      <alignment vertical="top"/>
    </xf>
    <xf numFmtId="0" fontId="9" fillId="3" borderId="7" xfId="0" applyFont="1" applyFill="1" applyBorder="1" applyAlignment="1">
      <alignment vertical="top" wrapText="1"/>
    </xf>
    <xf numFmtId="0" fontId="9" fillId="3" borderId="8" xfId="0" applyFont="1" applyFill="1" applyBorder="1" applyAlignment="1">
      <alignment vertical="top" wrapText="1"/>
    </xf>
    <xf numFmtId="0" fontId="9" fillId="6" borderId="7" xfId="0" applyFont="1" applyFill="1" applyBorder="1" applyAlignment="1">
      <alignment vertical="top" wrapText="1"/>
    </xf>
    <xf numFmtId="0" fontId="9" fillId="6" borderId="8" xfId="0" applyFont="1" applyFill="1" applyBorder="1" applyAlignment="1">
      <alignment vertical="top" wrapText="1"/>
    </xf>
    <xf numFmtId="43" fontId="9" fillId="6" borderId="0" xfId="1" applyFont="1" applyFill="1" applyBorder="1" applyAlignment="1">
      <alignment vertical="top"/>
    </xf>
    <xf numFmtId="1" fontId="9" fillId="6" borderId="0" xfId="0" applyNumberFormat="1" applyFont="1" applyFill="1" applyBorder="1" applyAlignment="1">
      <alignment vertical="top"/>
    </xf>
    <xf numFmtId="0" fontId="9" fillId="6" borderId="13" xfId="0" applyFont="1" applyFill="1" applyBorder="1" applyAlignment="1">
      <alignment vertical="top" wrapText="1"/>
    </xf>
    <xf numFmtId="38" fontId="9" fillId="6" borderId="14" xfId="0" applyNumberFormat="1" applyFont="1" applyFill="1" applyBorder="1" applyAlignment="1">
      <alignment vertical="top"/>
    </xf>
    <xf numFmtId="1" fontId="9" fillId="6" borderId="14" xfId="0" applyNumberFormat="1" applyFont="1" applyFill="1" applyBorder="1" applyAlignment="1">
      <alignment vertical="top"/>
    </xf>
    <xf numFmtId="0" fontId="9" fillId="8" borderId="7" xfId="0" applyFont="1" applyFill="1" applyBorder="1" applyAlignment="1">
      <alignment vertical="top"/>
    </xf>
    <xf numFmtId="1" fontId="9" fillId="8" borderId="7" xfId="0" applyNumberFormat="1" applyFont="1" applyFill="1" applyBorder="1" applyAlignment="1">
      <alignment vertical="top"/>
    </xf>
    <xf numFmtId="38" fontId="9" fillId="8" borderId="7" xfId="0" applyNumberFormat="1" applyFont="1" applyFill="1" applyBorder="1" applyAlignment="1">
      <alignment vertical="top"/>
    </xf>
    <xf numFmtId="0" fontId="9" fillId="8" borderId="7" xfId="0" applyFont="1" applyFill="1" applyBorder="1" applyAlignment="1">
      <alignment vertical="top" wrapText="1"/>
    </xf>
    <xf numFmtId="0" fontId="9" fillId="8" borderId="8" xfId="0" applyFont="1" applyFill="1" applyBorder="1" applyAlignment="1">
      <alignment vertical="top" wrapText="1"/>
    </xf>
    <xf numFmtId="1" fontId="9" fillId="2" borderId="7" xfId="0" applyNumberFormat="1" applyFont="1" applyFill="1" applyBorder="1" applyAlignment="1">
      <alignment vertical="top"/>
    </xf>
    <xf numFmtId="38" fontId="9" fillId="2" borderId="7" xfId="0" applyNumberFormat="1" applyFont="1" applyFill="1" applyBorder="1" applyAlignment="1">
      <alignment vertical="top"/>
    </xf>
    <xf numFmtId="0" fontId="9" fillId="2" borderId="7" xfId="0" applyFont="1" applyFill="1" applyBorder="1" applyAlignment="1">
      <alignment vertical="top" wrapText="1"/>
    </xf>
    <xf numFmtId="0" fontId="9" fillId="2" borderId="8" xfId="0" applyFont="1" applyFill="1" applyBorder="1" applyAlignment="1">
      <alignment vertical="top" wrapText="1"/>
    </xf>
    <xf numFmtId="1" fontId="9" fillId="2" borderId="0" xfId="0" applyNumberFormat="1" applyFont="1" applyFill="1" applyBorder="1" applyAlignment="1">
      <alignment vertical="top"/>
    </xf>
    <xf numFmtId="1" fontId="9" fillId="2" borderId="14" xfId="0" applyNumberFormat="1" applyFont="1" applyFill="1" applyBorder="1" applyAlignment="1">
      <alignment vertical="top"/>
    </xf>
    <xf numFmtId="1" fontId="9" fillId="3" borderId="18" xfId="0" applyNumberFormat="1" applyFont="1" applyFill="1" applyBorder="1" applyAlignment="1">
      <alignment vertical="top"/>
    </xf>
    <xf numFmtId="0" fontId="9" fillId="3" borderId="18" xfId="0" applyFont="1" applyFill="1" applyBorder="1" applyAlignment="1">
      <alignment vertical="top" wrapText="1"/>
    </xf>
    <xf numFmtId="0" fontId="9" fillId="3" borderId="19" xfId="0" applyFont="1" applyFill="1" applyBorder="1" applyAlignment="1">
      <alignment vertical="top" wrapText="1"/>
    </xf>
    <xf numFmtId="43" fontId="9" fillId="6" borderId="0" xfId="1" applyNumberFormat="1" applyFont="1" applyFill="1" applyBorder="1" applyAlignment="1">
      <alignment vertical="top"/>
    </xf>
    <xf numFmtId="1" fontId="9" fillId="6" borderId="0" xfId="0" applyNumberFormat="1" applyFont="1" applyFill="1" applyBorder="1" applyAlignment="1">
      <alignment horizontal="right" vertical="top"/>
    </xf>
    <xf numFmtId="0" fontId="14" fillId="6" borderId="13" xfId="5" applyFont="1" applyFill="1" applyBorder="1" applyAlignment="1">
      <alignment vertical="top" wrapText="1"/>
    </xf>
    <xf numFmtId="1" fontId="9" fillId="6" borderId="14" xfId="0" applyNumberFormat="1" applyFont="1" applyFill="1" applyBorder="1" applyAlignment="1">
      <alignment horizontal="right" vertical="top"/>
    </xf>
    <xf numFmtId="166" fontId="9" fillId="6" borderId="14" xfId="1" applyNumberFormat="1" applyFont="1" applyFill="1" applyBorder="1" applyAlignment="1">
      <alignment vertical="top"/>
    </xf>
    <xf numFmtId="1" fontId="9" fillId="8" borderId="18" xfId="0" applyNumberFormat="1" applyFont="1" applyFill="1" applyBorder="1" applyAlignment="1">
      <alignment vertical="top"/>
    </xf>
    <xf numFmtId="0" fontId="14" fillId="2" borderId="13" xfId="5" applyFont="1" applyFill="1" applyBorder="1" applyAlignment="1">
      <alignment vertical="top" wrapText="1"/>
    </xf>
    <xf numFmtId="43" fontId="14" fillId="2" borderId="14" xfId="5" applyNumberFormat="1" applyFont="1" applyFill="1" applyBorder="1" applyAlignment="1">
      <alignment vertical="top"/>
    </xf>
    <xf numFmtId="43" fontId="9" fillId="2" borderId="14" xfId="1" applyNumberFormat="1" applyFont="1" applyFill="1" applyBorder="1" applyAlignment="1">
      <alignment vertical="top"/>
    </xf>
    <xf numFmtId="0" fontId="5" fillId="6" borderId="6" xfId="0" applyFont="1" applyFill="1" applyBorder="1" applyAlignment="1">
      <alignment vertical="top"/>
    </xf>
    <xf numFmtId="0" fontId="5" fillId="6" borderId="7" xfId="0" applyFont="1" applyFill="1" applyBorder="1" applyAlignment="1">
      <alignment vertical="top"/>
    </xf>
    <xf numFmtId="1" fontId="5" fillId="6" borderId="7" xfId="0" applyNumberFormat="1" applyFont="1" applyFill="1" applyBorder="1" applyAlignment="1">
      <alignment vertical="top"/>
    </xf>
    <xf numFmtId="0" fontId="5" fillId="6" borderId="8" xfId="0" applyFont="1" applyFill="1" applyBorder="1" applyAlignment="1">
      <alignment vertical="top"/>
    </xf>
    <xf numFmtId="0" fontId="5" fillId="6" borderId="13" xfId="0" applyFont="1" applyFill="1" applyBorder="1" applyAlignment="1">
      <alignment vertical="top"/>
    </xf>
    <xf numFmtId="0" fontId="5" fillId="6" borderId="14" xfId="0" applyFont="1" applyFill="1" applyBorder="1" applyAlignment="1">
      <alignment vertical="top"/>
    </xf>
    <xf numFmtId="1" fontId="5" fillId="6" borderId="14" xfId="0" applyNumberFormat="1" applyFont="1" applyFill="1" applyBorder="1" applyAlignment="1">
      <alignment vertical="top"/>
    </xf>
    <xf numFmtId="0" fontId="5" fillId="6" borderId="15" xfId="0" applyFont="1" applyFill="1" applyBorder="1" applyAlignment="1">
      <alignment vertical="top"/>
    </xf>
    <xf numFmtId="0" fontId="9" fillId="2" borderId="6" xfId="0" applyFont="1" applyFill="1" applyBorder="1" applyAlignment="1">
      <alignment vertical="top" wrapText="1"/>
    </xf>
    <xf numFmtId="0" fontId="9" fillId="2" borderId="7" xfId="0" applyFont="1" applyFill="1" applyBorder="1" applyAlignment="1">
      <alignment horizontal="center" vertical="top"/>
    </xf>
    <xf numFmtId="0" fontId="9" fillId="2" borderId="14" xfId="0" applyFont="1" applyFill="1" applyBorder="1" applyAlignment="1">
      <alignment horizontal="center" vertical="top"/>
    </xf>
    <xf numFmtId="0" fontId="9" fillId="9" borderId="7" xfId="0" applyFont="1" applyFill="1" applyBorder="1" applyAlignment="1">
      <alignment vertical="top"/>
    </xf>
    <xf numFmtId="0" fontId="9" fillId="0" borderId="0" xfId="0" applyFont="1" applyAlignment="1">
      <alignment vertical="top" wrapText="1"/>
    </xf>
    <xf numFmtId="0" fontId="9" fillId="2" borderId="9" xfId="0" applyNumberFormat="1" applyFont="1" applyFill="1" applyBorder="1" applyAlignment="1">
      <alignment vertical="top" wrapText="1"/>
    </xf>
    <xf numFmtId="0" fontId="9" fillId="2" borderId="12" xfId="0" applyFont="1" applyFill="1" applyBorder="1" applyAlignment="1">
      <alignment vertical="top" wrapText="1"/>
    </xf>
    <xf numFmtId="0" fontId="9" fillId="2" borderId="16" xfId="0" applyFont="1" applyFill="1" applyBorder="1" applyAlignment="1">
      <alignment vertical="top" wrapText="1"/>
    </xf>
    <xf numFmtId="0" fontId="9" fillId="6" borderId="20" xfId="0" applyNumberFormat="1" applyFont="1" applyFill="1" applyBorder="1" applyAlignment="1">
      <alignment vertical="top" wrapText="1"/>
    </xf>
    <xf numFmtId="0" fontId="9" fillId="0" borderId="0" xfId="0" applyNumberFormat="1" applyFont="1" applyFill="1" applyBorder="1" applyAlignment="1">
      <alignment vertical="top" wrapText="1"/>
    </xf>
    <xf numFmtId="0" fontId="9" fillId="2" borderId="20" xfId="0" applyNumberFormat="1" applyFont="1" applyFill="1" applyBorder="1" applyAlignment="1">
      <alignment vertical="top" wrapText="1"/>
    </xf>
    <xf numFmtId="0" fontId="9" fillId="6" borderId="9" xfId="0" applyNumberFormat="1" applyFont="1" applyFill="1" applyBorder="1" applyAlignment="1">
      <alignment vertical="top" wrapText="1"/>
    </xf>
    <xf numFmtId="0" fontId="9" fillId="6" borderId="12" xfId="0" applyNumberFormat="1" applyFont="1" applyFill="1" applyBorder="1" applyAlignment="1">
      <alignment vertical="top" wrapText="1"/>
    </xf>
    <xf numFmtId="0" fontId="9" fillId="6" borderId="16" xfId="0" applyNumberFormat="1" applyFont="1" applyFill="1" applyBorder="1" applyAlignment="1">
      <alignment vertical="top" wrapText="1"/>
    </xf>
    <xf numFmtId="0" fontId="9" fillId="11" borderId="20" xfId="0" applyFont="1" applyFill="1" applyBorder="1" applyAlignment="1">
      <alignment horizontal="center" vertical="top" wrapText="1"/>
    </xf>
    <xf numFmtId="0" fontId="9" fillId="9" borderId="20" xfId="0" applyFont="1" applyFill="1" applyBorder="1" applyAlignment="1">
      <alignment vertical="top" wrapText="1"/>
    </xf>
    <xf numFmtId="0" fontId="9" fillId="8" borderId="20" xfId="0" applyNumberFormat="1" applyFont="1" applyFill="1" applyBorder="1" applyAlignment="1">
      <alignment vertical="top" wrapText="1"/>
    </xf>
    <xf numFmtId="0" fontId="9" fillId="3" borderId="20" xfId="0" applyFont="1" applyFill="1" applyBorder="1" applyAlignment="1">
      <alignment vertical="top" wrapText="1"/>
    </xf>
    <xf numFmtId="0" fontId="9" fillId="3" borderId="20" xfId="0" applyNumberFormat="1" applyFont="1" applyFill="1" applyBorder="1" applyAlignment="1">
      <alignment vertical="top" wrapText="1"/>
    </xf>
    <xf numFmtId="0" fontId="5" fillId="0" borderId="0" xfId="0" applyFont="1" applyAlignment="1">
      <alignment horizontal="center" vertical="top"/>
    </xf>
    <xf numFmtId="169" fontId="9" fillId="2" borderId="0" xfId="2" applyNumberFormat="1" applyFont="1" applyFill="1" applyBorder="1" applyAlignment="1">
      <alignment vertical="top"/>
    </xf>
    <xf numFmtId="176" fontId="9" fillId="2" borderId="0" xfId="2" applyNumberFormat="1" applyFont="1" applyFill="1" applyBorder="1" applyAlignment="1">
      <alignment vertical="top"/>
    </xf>
    <xf numFmtId="166" fontId="5" fillId="0" borderId="0" xfId="0" applyNumberFormat="1" applyFont="1" applyAlignment="1">
      <alignment vertical="top"/>
    </xf>
    <xf numFmtId="0" fontId="8" fillId="3" borderId="17" xfId="0" applyFont="1" applyFill="1" applyBorder="1" applyAlignment="1">
      <alignment vertical="top"/>
    </xf>
    <xf numFmtId="0" fontId="8" fillId="3" borderId="6" xfId="0" applyFont="1" applyFill="1" applyBorder="1" applyAlignment="1">
      <alignment vertical="top"/>
    </xf>
    <xf numFmtId="0" fontId="8" fillId="8" borderId="6" xfId="0" applyFont="1" applyFill="1" applyBorder="1" applyAlignment="1">
      <alignment vertical="top" wrapText="1"/>
    </xf>
    <xf numFmtId="0" fontId="8" fillId="8" borderId="17" xfId="5" applyFont="1" applyFill="1" applyBorder="1" applyAlignment="1">
      <alignment vertical="top" wrapText="1"/>
    </xf>
    <xf numFmtId="0" fontId="8" fillId="3" borderId="17" xfId="5" applyFont="1" applyFill="1" applyBorder="1" applyAlignment="1">
      <alignment vertical="top" wrapText="1"/>
    </xf>
    <xf numFmtId="0" fontId="8" fillId="4" borderId="17" xfId="0" applyFont="1" applyFill="1" applyBorder="1" applyAlignment="1">
      <alignment horizontal="center" vertical="top"/>
    </xf>
    <xf numFmtId="0" fontId="8" fillId="4" borderId="18" xfId="0" applyFont="1" applyFill="1" applyBorder="1" applyAlignment="1">
      <alignment horizontal="center" vertical="top"/>
    </xf>
    <xf numFmtId="0" fontId="8" fillId="4" borderId="18" xfId="0" applyFont="1" applyFill="1" applyBorder="1" applyAlignment="1">
      <alignment horizontal="center" vertical="top" wrapText="1"/>
    </xf>
    <xf numFmtId="0" fontId="8" fillId="4" borderId="19" xfId="0" applyFont="1" applyFill="1" applyBorder="1" applyAlignment="1">
      <alignment horizontal="center" vertical="top" wrapText="1"/>
    </xf>
    <xf numFmtId="0" fontId="8" fillId="10" borderId="18" xfId="0" applyFont="1" applyFill="1" applyBorder="1" applyAlignment="1">
      <alignment horizontal="center" vertical="top" wrapText="1"/>
    </xf>
    <xf numFmtId="0" fontId="9" fillId="2" borderId="10" xfId="0" applyFont="1" applyFill="1" applyBorder="1" applyAlignment="1">
      <alignment horizontal="right" vertical="top" wrapText="1"/>
    </xf>
    <xf numFmtId="43" fontId="12" fillId="2" borderId="0" xfId="1" applyNumberFormat="1" applyFont="1" applyFill="1" applyBorder="1" applyAlignment="1">
      <alignment vertical="top"/>
    </xf>
    <xf numFmtId="1" fontId="12" fillId="2" borderId="0" xfId="0" applyNumberFormat="1" applyFont="1" applyFill="1" applyBorder="1" applyAlignment="1">
      <alignment vertical="top"/>
    </xf>
    <xf numFmtId="0" fontId="15" fillId="0" borderId="31" xfId="0" applyFont="1" applyFill="1" applyBorder="1" applyAlignment="1">
      <alignment horizontal="center" wrapText="1"/>
    </xf>
    <xf numFmtId="0" fontId="15" fillId="0" borderId="0" xfId="0" applyFont="1" applyFill="1" applyAlignment="1">
      <alignment horizontal="left"/>
    </xf>
    <xf numFmtId="0" fontId="0" fillId="0" borderId="0" xfId="0" applyFont="1" applyAlignment="1">
      <alignment horizontal="right" wrapText="1"/>
    </xf>
    <xf numFmtId="179" fontId="25" fillId="0" borderId="0" xfId="8" applyNumberFormat="1" applyFont="1" applyBorder="1" applyAlignment="1">
      <alignment horizontal="right"/>
    </xf>
    <xf numFmtId="179" fontId="26" fillId="0" borderId="0" xfId="8" applyNumberFormat="1" applyFont="1" applyBorder="1" applyAlignment="1">
      <alignment horizontal="right" vertical="center"/>
    </xf>
    <xf numFmtId="0" fontId="2" fillId="0" borderId="0" xfId="3"/>
    <xf numFmtId="171" fontId="2" fillId="0" borderId="0" xfId="3" applyNumberFormat="1"/>
    <xf numFmtId="0" fontId="9" fillId="0" borderId="0" xfId="74" applyFont="1" applyAlignment="1">
      <alignment vertical="top"/>
    </xf>
    <xf numFmtId="0" fontId="5" fillId="0" borderId="0" xfId="0" applyFont="1" applyAlignment="1">
      <alignment horizontal="left" vertical="center" wrapText="1"/>
    </xf>
    <xf numFmtId="179" fontId="24" fillId="0" borderId="0" xfId="8" applyNumberFormat="1" applyFont="1" applyBorder="1" applyAlignment="1">
      <alignment horizontal="right" vertical="center"/>
    </xf>
    <xf numFmtId="0" fontId="5" fillId="0" borderId="0" xfId="74" applyFont="1" applyAlignment="1">
      <alignment horizontal="right" vertical="center"/>
    </xf>
    <xf numFmtId="2" fontId="5" fillId="0" borderId="0" xfId="74" applyNumberFormat="1" applyFont="1" applyAlignment="1">
      <alignment vertical="top"/>
    </xf>
    <xf numFmtId="0" fontId="9" fillId="0" borderId="6" xfId="74" applyFont="1" applyBorder="1" applyAlignment="1">
      <alignment vertical="top"/>
    </xf>
    <xf numFmtId="0" fontId="9" fillId="0" borderId="7" xfId="74" applyFont="1" applyBorder="1" applyAlignment="1">
      <alignment vertical="top"/>
    </xf>
    <xf numFmtId="0" fontId="9" fillId="0" borderId="8" xfId="74" applyFont="1" applyBorder="1" applyAlignment="1">
      <alignment vertical="top"/>
    </xf>
    <xf numFmtId="177" fontId="5" fillId="0" borderId="13" xfId="74" applyNumberFormat="1" applyFont="1" applyBorder="1" applyAlignment="1">
      <alignment vertical="top"/>
    </xf>
    <xf numFmtId="177" fontId="5" fillId="0" borderId="14" xfId="74" applyNumberFormat="1" applyFont="1" applyBorder="1" applyAlignment="1">
      <alignment vertical="top"/>
    </xf>
    <xf numFmtId="178" fontId="5" fillId="0" borderId="14" xfId="74" applyNumberFormat="1" applyFont="1" applyBorder="1" applyAlignment="1">
      <alignment vertical="top"/>
    </xf>
    <xf numFmtId="0" fontId="27" fillId="2" borderId="10" xfId="0" applyFont="1" applyFill="1" applyBorder="1" applyAlignment="1">
      <alignment horizontal="left" vertical="top" wrapText="1"/>
    </xf>
    <xf numFmtId="0" fontId="9" fillId="2" borderId="0" xfId="0" applyFont="1" applyFill="1" applyBorder="1" applyAlignment="1">
      <alignment horizontal="center" vertical="top" wrapText="1"/>
    </xf>
    <xf numFmtId="0" fontId="2" fillId="0" borderId="0" xfId="5" applyFont="1" applyAlignment="1">
      <alignment horizontal="center" vertical="top"/>
    </xf>
    <xf numFmtId="0" fontId="5" fillId="8" borderId="18" xfId="0" applyFont="1" applyFill="1" applyBorder="1" applyAlignment="1">
      <alignment horizontal="center" vertical="top"/>
    </xf>
    <xf numFmtId="0" fontId="5" fillId="2" borderId="0" xfId="0" applyFont="1" applyFill="1" applyBorder="1" applyAlignment="1">
      <alignment horizontal="center" vertical="top"/>
    </xf>
    <xf numFmtId="0" fontId="9" fillId="2" borderId="0" xfId="0" applyFont="1" applyFill="1" applyBorder="1" applyAlignment="1">
      <alignment horizontal="center" vertical="top"/>
    </xf>
    <xf numFmtId="0" fontId="9" fillId="3" borderId="7" xfId="0" applyFont="1" applyFill="1" applyBorder="1" applyAlignment="1">
      <alignment horizontal="center" vertical="top"/>
    </xf>
    <xf numFmtId="0" fontId="9" fillId="6" borderId="7" xfId="0" applyFont="1" applyFill="1" applyBorder="1" applyAlignment="1">
      <alignment horizontal="center" vertical="top"/>
    </xf>
    <xf numFmtId="0" fontId="9" fillId="6" borderId="0" xfId="0" applyFont="1" applyFill="1" applyBorder="1" applyAlignment="1">
      <alignment horizontal="center" vertical="top"/>
    </xf>
    <xf numFmtId="0" fontId="9" fillId="6" borderId="14" xfId="0" applyFont="1" applyFill="1" applyBorder="1" applyAlignment="1">
      <alignment horizontal="center" vertical="top"/>
    </xf>
    <xf numFmtId="0" fontId="9" fillId="8" borderId="7" xfId="0" applyFont="1" applyFill="1" applyBorder="1" applyAlignment="1">
      <alignment horizontal="center" vertical="top"/>
    </xf>
    <xf numFmtId="0" fontId="9" fillId="3" borderId="18" xfId="0" applyFont="1" applyFill="1" applyBorder="1" applyAlignment="1">
      <alignment horizontal="center" vertical="top"/>
    </xf>
    <xf numFmtId="0" fontId="14" fillId="6" borderId="0" xfId="5" applyFont="1" applyFill="1" applyBorder="1" applyAlignment="1">
      <alignment horizontal="center" vertical="top"/>
    </xf>
    <xf numFmtId="0" fontId="14" fillId="6" borderId="14" xfId="5" applyFont="1" applyFill="1" applyBorder="1" applyAlignment="1">
      <alignment horizontal="center" vertical="top"/>
    </xf>
    <xf numFmtId="0" fontId="14" fillId="8" borderId="18" xfId="5" applyFont="1" applyFill="1" applyBorder="1" applyAlignment="1">
      <alignment horizontal="center" vertical="top"/>
    </xf>
    <xf numFmtId="0" fontId="14" fillId="2" borderId="0" xfId="5" applyFont="1" applyFill="1" applyBorder="1" applyAlignment="1">
      <alignment horizontal="center" vertical="top"/>
    </xf>
    <xf numFmtId="0" fontId="14" fillId="2" borderId="14" xfId="5" applyFont="1" applyFill="1" applyBorder="1" applyAlignment="1">
      <alignment horizontal="center" vertical="top"/>
    </xf>
    <xf numFmtId="0" fontId="14" fillId="3" borderId="18" xfId="5" applyFont="1" applyFill="1" applyBorder="1" applyAlignment="1">
      <alignment horizontal="center" vertical="top"/>
    </xf>
    <xf numFmtId="0" fontId="5" fillId="6" borderId="7" xfId="0" applyFont="1" applyFill="1" applyBorder="1" applyAlignment="1">
      <alignment horizontal="center" vertical="top"/>
    </xf>
    <xf numFmtId="0" fontId="5" fillId="6" borderId="14" xfId="0" applyFont="1" applyFill="1" applyBorder="1" applyAlignment="1">
      <alignment horizontal="center" vertical="top"/>
    </xf>
    <xf numFmtId="0" fontId="12" fillId="2" borderId="13" xfId="0" applyFont="1" applyFill="1" applyBorder="1" applyAlignment="1">
      <alignment vertical="top" wrapText="1"/>
    </xf>
    <xf numFmtId="166" fontId="12" fillId="2" borderId="14" xfId="1" applyNumberFormat="1" applyFont="1" applyFill="1" applyBorder="1" applyAlignment="1">
      <alignment vertical="top"/>
    </xf>
    <xf numFmtId="1" fontId="12" fillId="2" borderId="14" xfId="0" applyNumberFormat="1" applyFont="1" applyFill="1" applyBorder="1" applyAlignment="1">
      <alignment vertical="top"/>
    </xf>
    <xf numFmtId="0" fontId="12" fillId="2" borderId="14" xfId="0" applyFont="1" applyFill="1" applyBorder="1" applyAlignment="1">
      <alignment vertical="top"/>
    </xf>
    <xf numFmtId="0" fontId="12" fillId="2" borderId="14" xfId="0" applyFont="1" applyFill="1" applyBorder="1" applyAlignment="1">
      <alignment horizontal="center" vertical="top"/>
    </xf>
    <xf numFmtId="0" fontId="9" fillId="6" borderId="10" xfId="0" applyFont="1" applyFill="1" applyBorder="1" applyAlignment="1">
      <alignment horizontal="right" vertical="top" wrapText="1"/>
    </xf>
    <xf numFmtId="43" fontId="9" fillId="6" borderId="0" xfId="1" applyNumberFormat="1" applyFont="1" applyFill="1" applyBorder="1" applyAlignment="1">
      <alignment horizontal="right" vertical="top"/>
    </xf>
    <xf numFmtId="169" fontId="9" fillId="6" borderId="0" xfId="1" applyNumberFormat="1" applyFont="1" applyFill="1" applyBorder="1" applyAlignment="1">
      <alignment vertical="top"/>
    </xf>
    <xf numFmtId="169" fontId="9" fillId="6" borderId="0" xfId="1" applyNumberFormat="1" applyFont="1" applyFill="1" applyBorder="1" applyAlignment="1">
      <alignment horizontal="right" vertical="top"/>
    </xf>
    <xf numFmtId="7" fontId="9" fillId="2" borderId="0" xfId="1" applyNumberFormat="1" applyFont="1" applyFill="1" applyBorder="1" applyAlignment="1">
      <alignment vertical="top"/>
    </xf>
    <xf numFmtId="0" fontId="22" fillId="0" borderId="0" xfId="0" applyFont="1" applyBorder="1" applyAlignment="1">
      <alignment vertical="center"/>
    </xf>
    <xf numFmtId="0" fontId="0" fillId="0" borderId="0" xfId="0" applyFont="1" applyBorder="1" applyAlignment="1">
      <alignment vertical="center" wrapText="1"/>
    </xf>
    <xf numFmtId="0" fontId="0" fillId="0" borderId="42" xfId="0" applyFont="1" applyBorder="1" applyAlignment="1">
      <alignment horizontal="center" vertical="center"/>
    </xf>
    <xf numFmtId="0" fontId="22" fillId="22" borderId="1" xfId="0" applyFont="1" applyFill="1" applyBorder="1" applyAlignment="1">
      <alignment horizontal="center" vertical="center" wrapText="1"/>
    </xf>
    <xf numFmtId="0" fontId="0" fillId="0" borderId="0" xfId="0" applyFont="1" applyFill="1" applyBorder="1" applyAlignment="1">
      <alignment vertical="center"/>
    </xf>
    <xf numFmtId="0" fontId="0" fillId="0" borderId="38" xfId="0" applyFill="1" applyBorder="1" applyAlignment="1">
      <alignment vertical="center"/>
    </xf>
    <xf numFmtId="0" fontId="0" fillId="19" borderId="36" xfId="0" applyFont="1" applyFill="1" applyBorder="1" applyAlignment="1">
      <alignment horizontal="center" vertical="center"/>
    </xf>
    <xf numFmtId="0" fontId="22" fillId="19" borderId="0" xfId="0" applyFont="1" applyFill="1" applyBorder="1" applyAlignment="1">
      <alignment horizontal="center" vertical="center" wrapText="1"/>
    </xf>
    <xf numFmtId="0" fontId="0" fillId="19" borderId="34" xfId="0" applyFill="1" applyBorder="1" applyAlignment="1">
      <alignment vertical="center"/>
    </xf>
    <xf numFmtId="0" fontId="0" fillId="19" borderId="24" xfId="0" applyFill="1" applyBorder="1" applyAlignment="1">
      <alignment horizontal="center" vertical="center"/>
    </xf>
    <xf numFmtId="0" fontId="0" fillId="19" borderId="0" xfId="0" applyFont="1" applyFill="1" applyBorder="1" applyAlignment="1">
      <alignment vertical="center" wrapText="1"/>
    </xf>
    <xf numFmtId="0" fontId="0" fillId="19" borderId="0" xfId="0" applyFont="1" applyFill="1" applyBorder="1" applyAlignment="1">
      <alignment vertical="center"/>
    </xf>
    <xf numFmtId="170" fontId="0" fillId="19" borderId="0" xfId="0" applyNumberFormat="1" applyFont="1" applyFill="1" applyBorder="1" applyAlignment="1">
      <alignment vertical="center"/>
    </xf>
    <xf numFmtId="0" fontId="0" fillId="19" borderId="38" xfId="0" applyFill="1" applyBorder="1" applyAlignment="1">
      <alignment vertical="center"/>
    </xf>
    <xf numFmtId="165" fontId="0" fillId="19" borderId="35" xfId="0" applyNumberFormat="1" applyFill="1" applyBorder="1" applyAlignment="1">
      <alignment horizontal="center" vertical="center"/>
    </xf>
    <xf numFmtId="181" fontId="9" fillId="6" borderId="0" xfId="1" applyNumberFormat="1" applyFont="1" applyFill="1" applyBorder="1" applyAlignment="1">
      <alignment vertical="top"/>
    </xf>
    <xf numFmtId="165" fontId="0" fillId="0" borderId="39" xfId="0" applyNumberFormat="1" applyFill="1" applyBorder="1" applyAlignment="1">
      <alignment horizontal="center" vertical="center"/>
    </xf>
    <xf numFmtId="0" fontId="0" fillId="0" borderId="41" xfId="0" applyFill="1" applyBorder="1" applyAlignment="1">
      <alignment horizontal="center" vertical="center"/>
    </xf>
    <xf numFmtId="0" fontId="0" fillId="19" borderId="44" xfId="0" applyFont="1" applyFill="1" applyBorder="1" applyAlignment="1">
      <alignment vertical="center"/>
    </xf>
    <xf numFmtId="165" fontId="0" fillId="19" borderId="45" xfId="0" applyNumberFormat="1" applyFont="1" applyFill="1" applyBorder="1" applyAlignment="1">
      <alignment horizontal="center" vertical="center"/>
    </xf>
    <xf numFmtId="0" fontId="0" fillId="19" borderId="4" xfId="0" applyFont="1" applyFill="1" applyBorder="1" applyAlignment="1">
      <alignment horizontal="center" vertical="center"/>
    </xf>
    <xf numFmtId="165" fontId="0" fillId="19" borderId="52" xfId="0" applyNumberFormat="1" applyFont="1" applyFill="1" applyBorder="1" applyAlignment="1">
      <alignment horizontal="center" vertical="center"/>
    </xf>
    <xf numFmtId="0" fontId="22" fillId="0" borderId="53" xfId="0" applyFont="1" applyBorder="1" applyAlignment="1">
      <alignment horizontal="center" vertical="center" wrapText="1"/>
    </xf>
    <xf numFmtId="0" fontId="22" fillId="0" borderId="54" xfId="0" applyFont="1" applyBorder="1" applyAlignment="1">
      <alignment horizontal="center" vertical="center" wrapText="1"/>
    </xf>
    <xf numFmtId="0" fontId="22" fillId="0" borderId="51" xfId="0" applyFont="1" applyBorder="1" applyAlignment="1">
      <alignment horizontal="center" vertical="center" wrapText="1"/>
    </xf>
    <xf numFmtId="0" fontId="0" fillId="19" borderId="42" xfId="0" applyFont="1" applyFill="1" applyBorder="1" applyAlignment="1">
      <alignment horizontal="center" vertical="center"/>
    </xf>
    <xf numFmtId="0" fontId="32" fillId="0" borderId="55" xfId="0" applyFont="1" applyFill="1" applyBorder="1" applyAlignment="1">
      <alignment horizontal="center" vertical="center" wrapText="1"/>
    </xf>
    <xf numFmtId="0" fontId="32" fillId="0" borderId="53" xfId="0" applyFont="1" applyFill="1" applyBorder="1" applyAlignment="1">
      <alignment horizontal="center" vertical="center" wrapText="1"/>
    </xf>
    <xf numFmtId="0" fontId="32" fillId="0" borderId="56" xfId="0" applyFont="1" applyFill="1" applyBorder="1" applyAlignment="1">
      <alignment horizontal="center" vertical="center" wrapText="1"/>
    </xf>
    <xf numFmtId="0" fontId="22" fillId="0" borderId="49" xfId="0" applyFont="1" applyFill="1" applyBorder="1" applyAlignment="1">
      <alignment horizontal="center" vertical="center" wrapText="1"/>
    </xf>
    <xf numFmtId="0" fontId="9" fillId="6" borderId="11" xfId="0" applyFont="1" applyFill="1" applyBorder="1" applyAlignment="1">
      <alignment horizontal="left" wrapText="1"/>
    </xf>
    <xf numFmtId="5" fontId="9" fillId="6" borderId="0" xfId="1" applyNumberFormat="1" applyFont="1" applyFill="1" applyBorder="1" applyAlignment="1">
      <alignment vertical="top"/>
    </xf>
    <xf numFmtId="0" fontId="19" fillId="6" borderId="0" xfId="0" applyFont="1" applyFill="1" applyBorder="1" applyAlignment="1">
      <alignment vertical="top" wrapText="1"/>
    </xf>
    <xf numFmtId="0" fontId="9" fillId="6" borderId="6" xfId="0" applyFont="1" applyFill="1" applyBorder="1" applyAlignment="1">
      <alignment vertical="top" wrapText="1"/>
    </xf>
    <xf numFmtId="1" fontId="9" fillId="6" borderId="7" xfId="0" applyNumberFormat="1" applyFont="1" applyFill="1" applyBorder="1" applyAlignment="1">
      <alignment vertical="top"/>
    </xf>
    <xf numFmtId="182" fontId="9" fillId="2" borderId="0" xfId="2" applyNumberFormat="1" applyFont="1" applyFill="1" applyBorder="1" applyAlignment="1">
      <alignment vertical="top"/>
    </xf>
    <xf numFmtId="5" fontId="9" fillId="2" borderId="0" xfId="1" applyNumberFormat="1" applyFont="1" applyFill="1" applyBorder="1" applyAlignment="1">
      <alignment vertical="top"/>
    </xf>
    <xf numFmtId="0" fontId="14" fillId="2" borderId="10" xfId="5" quotePrefix="1" applyFont="1" applyFill="1" applyBorder="1" applyAlignment="1">
      <alignment vertical="top" wrapText="1"/>
    </xf>
    <xf numFmtId="0" fontId="31" fillId="2" borderId="10" xfId="5" applyFont="1" applyFill="1" applyBorder="1" applyAlignment="1">
      <alignment vertical="top" wrapText="1"/>
    </xf>
    <xf numFmtId="0" fontId="0" fillId="0" borderId="0" xfId="0" applyFont="1" applyAlignment="1">
      <alignment vertical="center"/>
    </xf>
    <xf numFmtId="0" fontId="0" fillId="0" borderId="0" xfId="0" applyFont="1" applyAlignment="1">
      <alignment vertical="center" wrapText="1"/>
    </xf>
    <xf numFmtId="0" fontId="32" fillId="22"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0" fillId="0" borderId="1" xfId="0" applyFont="1" applyBorder="1" applyAlignment="1">
      <alignment horizontal="center" vertical="center" wrapText="1"/>
    </xf>
    <xf numFmtId="165" fontId="0" fillId="0" borderId="1" xfId="0" applyNumberFormat="1" applyFont="1" applyBorder="1" applyAlignment="1">
      <alignment horizontal="center" vertical="center"/>
    </xf>
    <xf numFmtId="6" fontId="0" fillId="0" borderId="1" xfId="0" applyNumberFormat="1" applyFont="1" applyBorder="1" applyAlignment="1">
      <alignment horizontal="center" vertical="center" wrapText="1"/>
    </xf>
    <xf numFmtId="0" fontId="34" fillId="0" borderId="30" xfId="0" applyFont="1" applyBorder="1" applyAlignment="1">
      <alignment vertical="center" textRotation="90"/>
    </xf>
    <xf numFmtId="0" fontId="22" fillId="22" borderId="22" xfId="0" applyFont="1" applyFill="1" applyBorder="1" applyAlignment="1">
      <alignment horizontal="center" vertical="center"/>
    </xf>
    <xf numFmtId="0" fontId="22" fillId="22" borderId="1" xfId="0" applyFont="1" applyFill="1" applyBorder="1" applyAlignment="1">
      <alignment horizontal="center" vertical="center"/>
    </xf>
    <xf numFmtId="0" fontId="34" fillId="0" borderId="32" xfId="0" applyFont="1" applyBorder="1" applyAlignment="1">
      <alignment vertical="center" textRotation="90"/>
    </xf>
    <xf numFmtId="0" fontId="22" fillId="22" borderId="22" xfId="0" applyFont="1" applyFill="1" applyBorder="1" applyAlignment="1">
      <alignment horizontal="center" vertical="center" wrapText="1"/>
    </xf>
    <xf numFmtId="0" fontId="34" fillId="0" borderId="28" xfId="0" applyFont="1" applyBorder="1" applyAlignment="1">
      <alignment vertical="center" textRotation="90"/>
    </xf>
    <xf numFmtId="0" fontId="22" fillId="0" borderId="1" xfId="0" applyFont="1" applyFill="1" applyBorder="1" applyAlignment="1">
      <alignment horizontal="right" vertical="center" wrapText="1"/>
    </xf>
    <xf numFmtId="6" fontId="22" fillId="0" borderId="1" xfId="0" applyNumberFormat="1" applyFont="1" applyBorder="1" applyAlignment="1">
      <alignment vertical="center"/>
    </xf>
    <xf numFmtId="3" fontId="0" fillId="20" borderId="1" xfId="0" applyNumberFormat="1" applyFont="1" applyFill="1" applyBorder="1" applyAlignment="1">
      <alignment vertical="center"/>
    </xf>
    <xf numFmtId="166" fontId="0" fillId="20" borderId="1" xfId="1" applyNumberFormat="1" applyFont="1" applyFill="1" applyBorder="1" applyAlignment="1">
      <alignment vertical="center"/>
    </xf>
    <xf numFmtId="0" fontId="22" fillId="20" borderId="1" xfId="0" applyFont="1" applyFill="1" applyBorder="1" applyAlignment="1">
      <alignment horizontal="center" vertical="center" wrapText="1"/>
    </xf>
    <xf numFmtId="3" fontId="22" fillId="0" borderId="0" xfId="0" applyNumberFormat="1" applyFont="1" applyFill="1" applyBorder="1" applyAlignment="1">
      <alignment horizontal="center" vertical="center"/>
    </xf>
    <xf numFmtId="0" fontId="0" fillId="0" borderId="0" xfId="0" applyAlignment="1">
      <alignment vertical="center"/>
    </xf>
    <xf numFmtId="0" fontId="22" fillId="0" borderId="0" xfId="0" applyFont="1" applyAlignment="1">
      <alignment vertical="center"/>
    </xf>
    <xf numFmtId="0" fontId="22" fillId="0" borderId="0" xfId="0" applyFont="1" applyAlignment="1">
      <alignment horizontal="center" vertical="center"/>
    </xf>
    <xf numFmtId="0" fontId="21" fillId="0" borderId="0" xfId="0" applyFont="1" applyFill="1" applyBorder="1" applyAlignment="1">
      <alignment horizontal="center" vertical="center" wrapText="1"/>
    </xf>
    <xf numFmtId="0" fontId="22" fillId="0" borderId="0" xfId="0" applyFont="1" applyFill="1" applyBorder="1" applyAlignment="1">
      <alignment vertical="center"/>
    </xf>
    <xf numFmtId="0" fontId="0" fillId="0" borderId="1" xfId="0" applyBorder="1" applyAlignment="1">
      <alignment horizontal="center" vertical="center"/>
    </xf>
    <xf numFmtId="168" fontId="0" fillId="0" borderId="1" xfId="8" applyNumberFormat="1"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0" fontId="0" fillId="0" borderId="1" xfId="0" applyFont="1" applyFill="1" applyBorder="1" applyAlignment="1">
      <alignment vertical="center" wrapText="1"/>
    </xf>
    <xf numFmtId="10" fontId="0" fillId="0" borderId="1" xfId="8" applyNumberFormat="1" applyFont="1" applyBorder="1" applyAlignment="1">
      <alignment horizontal="center" vertical="center"/>
    </xf>
    <xf numFmtId="0" fontId="0" fillId="0" borderId="0" xfId="0" applyBorder="1" applyAlignment="1">
      <alignment vertical="center"/>
    </xf>
    <xf numFmtId="0" fontId="0" fillId="0" borderId="1" xfId="0" applyFont="1" applyBorder="1" applyAlignment="1">
      <alignment vertical="center"/>
    </xf>
    <xf numFmtId="0" fontId="0" fillId="0" borderId="1" xfId="0" applyFont="1" applyBorder="1" applyAlignment="1">
      <alignment vertical="center" wrapText="1"/>
    </xf>
    <xf numFmtId="0" fontId="0" fillId="0" borderId="1" xfId="0" applyFont="1" applyFill="1" applyBorder="1" applyAlignment="1">
      <alignment vertical="center"/>
    </xf>
    <xf numFmtId="0" fontId="35" fillId="0" borderId="0" xfId="0" applyFont="1" applyFill="1" applyBorder="1" applyAlignment="1">
      <alignment horizontal="center" vertical="center" wrapText="1"/>
    </xf>
    <xf numFmtId="0" fontId="36" fillId="0" borderId="0" xfId="0" applyFont="1" applyAlignment="1">
      <alignment vertical="center"/>
    </xf>
    <xf numFmtId="0" fontId="22" fillId="0" borderId="0" xfId="0" applyFont="1" applyFill="1" applyBorder="1" applyAlignment="1">
      <alignment horizontal="right" vertical="center"/>
    </xf>
    <xf numFmtId="0" fontId="22" fillId="23" borderId="1" xfId="0" applyFont="1" applyFill="1" applyBorder="1" applyAlignment="1">
      <alignment horizontal="center" vertical="center"/>
    </xf>
    <xf numFmtId="0" fontId="37" fillId="0" borderId="0" xfId="0" applyFont="1" applyAlignment="1">
      <alignment vertical="center"/>
    </xf>
    <xf numFmtId="0" fontId="34" fillId="0" borderId="0" xfId="0" applyFont="1" applyAlignment="1">
      <alignment vertical="center"/>
    </xf>
    <xf numFmtId="9" fontId="0" fillId="0" borderId="0" xfId="8" applyFont="1" applyFill="1" applyBorder="1" applyAlignment="1">
      <alignment vertical="center"/>
    </xf>
    <xf numFmtId="9" fontId="22" fillId="0" borderId="0" xfId="0" applyNumberFormat="1" applyFont="1" applyFill="1" applyBorder="1" applyAlignment="1">
      <alignment vertical="center"/>
    </xf>
    <xf numFmtId="0" fontId="22" fillId="0" borderId="0" xfId="0" applyFont="1" applyFill="1" applyBorder="1" applyAlignment="1">
      <alignment horizontal="center" vertical="center" wrapText="1"/>
    </xf>
    <xf numFmtId="184" fontId="0" fillId="0" borderId="0" xfId="0" applyNumberFormat="1" applyFill="1" applyBorder="1" applyAlignment="1">
      <alignment horizontal="center" vertical="center"/>
    </xf>
    <xf numFmtId="0" fontId="0" fillId="0" borderId="0" xfId="0" applyFont="1" applyFill="1" applyBorder="1" applyAlignment="1">
      <alignment vertical="center" wrapText="1"/>
    </xf>
    <xf numFmtId="184" fontId="22" fillId="0" borderId="0" xfId="0" applyNumberFormat="1" applyFont="1" applyFill="1" applyBorder="1" applyAlignment="1">
      <alignment horizontal="center" vertical="center"/>
    </xf>
    <xf numFmtId="0" fontId="0" fillId="0" borderId="1" xfId="0" applyFont="1" applyBorder="1" applyAlignment="1">
      <alignment horizontal="left" vertical="center" wrapText="1"/>
    </xf>
    <xf numFmtId="0" fontId="38" fillId="0" borderId="0" xfId="111" applyAlignment="1">
      <alignment vertical="center"/>
    </xf>
    <xf numFmtId="0" fontId="0" fillId="0" borderId="0" xfId="0" applyAlignment="1">
      <alignment vertical="center" wrapText="1"/>
    </xf>
    <xf numFmtId="0" fontId="0" fillId="0" borderId="0" xfId="0" applyAlignment="1">
      <alignment horizontal="center" vertical="center" wrapText="1"/>
    </xf>
    <xf numFmtId="3" fontId="0" fillId="0" borderId="0" xfId="0" applyNumberFormat="1" applyAlignment="1">
      <alignment horizontal="center" vertical="center" wrapText="1"/>
    </xf>
    <xf numFmtId="166" fontId="0" fillId="0" borderId="0" xfId="1" applyNumberFormat="1" applyFont="1" applyAlignment="1">
      <alignment vertical="center"/>
    </xf>
    <xf numFmtId="0" fontId="40" fillId="0" borderId="0" xfId="0" applyFont="1" applyFill="1" applyBorder="1" applyAlignment="1">
      <alignment horizontal="center" vertical="center" wrapText="1"/>
    </xf>
    <xf numFmtId="0" fontId="39" fillId="0" borderId="1" xfId="0" applyFont="1" applyBorder="1" applyAlignment="1">
      <alignment vertical="center" wrapText="1"/>
    </xf>
    <xf numFmtId="0" fontId="37" fillId="0" borderId="0" xfId="0" applyFont="1" applyBorder="1" applyAlignment="1">
      <alignment horizontal="center" vertical="center" wrapText="1"/>
    </xf>
    <xf numFmtId="0" fontId="39" fillId="0" borderId="0" xfId="0" applyFont="1" applyAlignment="1">
      <alignment horizontal="left" vertical="center" wrapText="1"/>
    </xf>
    <xf numFmtId="0" fontId="37" fillId="0" borderId="1" xfId="0" applyFont="1" applyBorder="1" applyAlignment="1">
      <alignment vertical="center" wrapText="1"/>
    </xf>
    <xf numFmtId="164" fontId="39" fillId="0" borderId="1" xfId="0" applyNumberFormat="1" applyFont="1" applyBorder="1" applyAlignment="1">
      <alignment horizontal="center" vertical="center" wrapText="1"/>
    </xf>
    <xf numFmtId="164" fontId="37" fillId="0" borderId="1" xfId="0" applyNumberFormat="1" applyFont="1" applyBorder="1" applyAlignment="1">
      <alignment horizontal="center" vertical="center" wrapText="1"/>
    </xf>
    <xf numFmtId="0" fontId="37" fillId="0" borderId="0" xfId="0" applyFont="1" applyBorder="1" applyAlignment="1">
      <alignment horizontal="center" vertical="center"/>
    </xf>
    <xf numFmtId="0" fontId="39" fillId="0" borderId="0" xfId="0" applyFont="1" applyBorder="1" applyAlignment="1">
      <alignment horizontal="left" vertical="center" wrapText="1"/>
    </xf>
    <xf numFmtId="0" fontId="9" fillId="6" borderId="10" xfId="0" quotePrefix="1" applyFont="1" applyFill="1" applyBorder="1" applyAlignment="1">
      <alignment horizontal="right" vertical="top" wrapText="1"/>
    </xf>
    <xf numFmtId="0" fontId="31" fillId="6" borderId="10" xfId="0" applyFont="1" applyFill="1" applyBorder="1" applyAlignment="1">
      <alignment vertical="top" wrapText="1"/>
    </xf>
    <xf numFmtId="0" fontId="39" fillId="0" borderId="0" xfId="0" applyFont="1" applyAlignment="1">
      <alignment vertical="center"/>
    </xf>
    <xf numFmtId="0" fontId="39" fillId="0" borderId="0" xfId="0" applyFont="1" applyBorder="1" applyAlignment="1">
      <alignment vertical="center"/>
    </xf>
    <xf numFmtId="180" fontId="39" fillId="0" borderId="0" xfId="0" applyNumberFormat="1" applyFont="1" applyBorder="1" applyAlignment="1">
      <alignment vertical="center"/>
    </xf>
    <xf numFmtId="0" fontId="39" fillId="0" borderId="0" xfId="0" applyFont="1" applyAlignment="1">
      <alignment vertical="center" wrapText="1"/>
    </xf>
    <xf numFmtId="0" fontId="37" fillId="23" borderId="30" xfId="0" applyFont="1" applyFill="1" applyBorder="1" applyAlignment="1">
      <alignment horizontal="center" vertical="center" wrapText="1"/>
    </xf>
    <xf numFmtId="0" fontId="22" fillId="22" borderId="47" xfId="0" applyFont="1" applyFill="1" applyBorder="1" applyAlignment="1">
      <alignment horizontal="center" vertical="center"/>
    </xf>
    <xf numFmtId="0" fontId="22" fillId="22" borderId="48" xfId="0" applyFont="1" applyFill="1" applyBorder="1" applyAlignment="1">
      <alignment horizontal="center" vertical="center"/>
    </xf>
    <xf numFmtId="0" fontId="22" fillId="22" borderId="49" xfId="0" applyFont="1" applyFill="1" applyBorder="1" applyAlignment="1">
      <alignment horizontal="center" vertical="center"/>
    </xf>
    <xf numFmtId="0" fontId="22" fillId="22" borderId="50" xfId="0" applyFont="1" applyFill="1" applyBorder="1" applyAlignment="1">
      <alignment horizontal="center" vertical="center"/>
    </xf>
    <xf numFmtId="0" fontId="0" fillId="0" borderId="44" xfId="0" applyBorder="1" applyAlignment="1">
      <alignment vertical="center"/>
    </xf>
    <xf numFmtId="165" fontId="0" fillId="21" borderId="45" xfId="0" applyNumberFormat="1" applyFill="1" applyBorder="1" applyAlignment="1">
      <alignment vertical="center"/>
    </xf>
    <xf numFmtId="165" fontId="0" fillId="21" borderId="28" xfId="0" applyNumberFormat="1" applyFill="1" applyBorder="1" applyAlignment="1">
      <alignment vertical="center"/>
    </xf>
    <xf numFmtId="165" fontId="0" fillId="9" borderId="28" xfId="0" applyNumberFormat="1" applyFill="1" applyBorder="1" applyAlignment="1">
      <alignment vertical="center"/>
    </xf>
    <xf numFmtId="165" fontId="0" fillId="0" borderId="46" xfId="0" applyNumberFormat="1" applyBorder="1" applyAlignment="1">
      <alignment vertical="center"/>
    </xf>
    <xf numFmtId="0" fontId="0" fillId="0" borderId="34" xfId="0" applyBorder="1" applyAlignment="1">
      <alignment vertical="center"/>
    </xf>
    <xf numFmtId="165" fontId="0" fillId="21" borderId="35" xfId="0" applyNumberFormat="1" applyFill="1" applyBorder="1" applyAlignment="1">
      <alignment vertical="center"/>
    </xf>
    <xf numFmtId="165" fontId="0" fillId="21" borderId="1" xfId="0" applyNumberFormat="1" applyFill="1" applyBorder="1" applyAlignment="1">
      <alignment vertical="center"/>
    </xf>
    <xf numFmtId="165" fontId="0" fillId="9" borderId="1" xfId="0" applyNumberFormat="1" applyFill="1" applyBorder="1" applyAlignment="1">
      <alignment vertical="center"/>
    </xf>
    <xf numFmtId="165" fontId="0" fillId="0" borderId="37" xfId="0" applyNumberFormat="1" applyBorder="1" applyAlignment="1">
      <alignment vertical="center"/>
    </xf>
    <xf numFmtId="0" fontId="0" fillId="21" borderId="35" xfId="0" applyFill="1" applyBorder="1" applyAlignment="1">
      <alignment horizontal="right" vertical="center"/>
    </xf>
    <xf numFmtId="0" fontId="0" fillId="21" borderId="1" xfId="0" applyFill="1" applyBorder="1" applyAlignment="1">
      <alignment horizontal="right" vertical="center"/>
    </xf>
    <xf numFmtId="0" fontId="0" fillId="9" borderId="1" xfId="0" applyFill="1" applyBorder="1" applyAlignment="1">
      <alignment horizontal="right" vertical="center"/>
    </xf>
    <xf numFmtId="0" fontId="0" fillId="0" borderId="37" xfId="0" applyBorder="1" applyAlignment="1">
      <alignment horizontal="right" vertical="center"/>
    </xf>
    <xf numFmtId="0" fontId="0" fillId="0" borderId="38" xfId="0" applyBorder="1" applyAlignment="1">
      <alignment vertical="center"/>
    </xf>
    <xf numFmtId="0" fontId="0" fillId="21" borderId="39" xfId="0" applyFill="1" applyBorder="1" applyAlignment="1">
      <alignment horizontal="right" vertical="center"/>
    </xf>
    <xf numFmtId="0" fontId="0" fillId="21" borderId="43" xfId="0" applyFill="1" applyBorder="1" applyAlignment="1">
      <alignment horizontal="right" vertical="center"/>
    </xf>
    <xf numFmtId="0" fontId="0" fillId="9" borderId="43" xfId="0" applyFill="1" applyBorder="1" applyAlignment="1">
      <alignment horizontal="right" vertical="center"/>
    </xf>
    <xf numFmtId="165" fontId="0" fillId="9" borderId="43" xfId="0" applyNumberFormat="1" applyFill="1" applyBorder="1" applyAlignment="1">
      <alignment vertical="center"/>
    </xf>
    <xf numFmtId="0" fontId="0" fillId="0" borderId="40" xfId="0" applyBorder="1" applyAlignment="1">
      <alignment horizontal="right" vertical="center"/>
    </xf>
    <xf numFmtId="0" fontId="0" fillId="0" borderId="0" xfId="0" applyAlignment="1">
      <alignment horizontal="left" vertical="center" wrapText="1"/>
    </xf>
    <xf numFmtId="0" fontId="22" fillId="0" borderId="49" xfId="0" applyFont="1" applyBorder="1" applyAlignment="1">
      <alignment vertical="center"/>
    </xf>
    <xf numFmtId="0" fontId="0" fillId="0" borderId="4" xfId="0" applyBorder="1" applyAlignment="1">
      <alignment vertical="center"/>
    </xf>
    <xf numFmtId="165" fontId="0" fillId="0" borderId="28" xfId="0" applyNumberFormat="1" applyFill="1" applyBorder="1" applyAlignment="1">
      <alignment vertical="center"/>
    </xf>
    <xf numFmtId="0" fontId="0" fillId="0" borderId="24" xfId="0" applyBorder="1" applyAlignment="1">
      <alignment vertical="center"/>
    </xf>
    <xf numFmtId="165" fontId="0" fillId="0" borderId="1" xfId="0" applyNumberFormat="1" applyFill="1" applyBorder="1" applyAlignment="1">
      <alignment vertical="center"/>
    </xf>
    <xf numFmtId="0" fontId="0" fillId="0" borderId="1" xfId="0" applyFill="1" applyBorder="1" applyAlignment="1">
      <alignment horizontal="right" vertical="center"/>
    </xf>
    <xf numFmtId="0" fontId="22" fillId="0" borderId="53" xfId="0" applyFont="1" applyBorder="1" applyAlignment="1">
      <alignment vertical="center"/>
    </xf>
    <xf numFmtId="0" fontId="0" fillId="19" borderId="45" xfId="0" applyFill="1" applyBorder="1" applyAlignment="1">
      <alignment horizontal="center" vertical="center"/>
    </xf>
    <xf numFmtId="0" fontId="0" fillId="19" borderId="46" xfId="0" applyFill="1" applyBorder="1" applyAlignment="1">
      <alignment horizontal="center" vertical="center"/>
    </xf>
    <xf numFmtId="0" fontId="0" fillId="19" borderId="35" xfId="0" applyFill="1" applyBorder="1" applyAlignment="1">
      <alignment horizontal="center" vertical="center"/>
    </xf>
    <xf numFmtId="0" fontId="0" fillId="19" borderId="37" xfId="0" applyFill="1" applyBorder="1" applyAlignment="1">
      <alignment horizontal="center" vertical="center"/>
    </xf>
    <xf numFmtId="0" fontId="0" fillId="19" borderId="39" xfId="0" applyFill="1" applyBorder="1" applyAlignment="1">
      <alignment horizontal="center" vertical="center"/>
    </xf>
    <xf numFmtId="0" fontId="0" fillId="19" borderId="40" xfId="0" applyFill="1" applyBorder="1" applyAlignment="1">
      <alignment horizontal="center" vertical="center"/>
    </xf>
    <xf numFmtId="0" fontId="2" fillId="0" borderId="0" xfId="5" applyFont="1" applyFill="1" applyAlignment="1">
      <alignment vertical="top"/>
    </xf>
    <xf numFmtId="0" fontId="2" fillId="22" borderId="0" xfId="5" applyFont="1" applyFill="1" applyAlignment="1">
      <alignment vertical="top"/>
    </xf>
    <xf numFmtId="0" fontId="39" fillId="0" borderId="0" xfId="0" applyFont="1" applyAlignment="1">
      <alignment horizontal="center" vertical="center"/>
    </xf>
    <xf numFmtId="0" fontId="39" fillId="0" borderId="1" xfId="0" applyFont="1" applyBorder="1" applyAlignment="1">
      <alignment horizontal="center" vertical="center"/>
    </xf>
    <xf numFmtId="43" fontId="9" fillId="2" borderId="10" xfId="1" applyNumberFormat="1" applyFont="1" applyFill="1" applyBorder="1" applyAlignment="1">
      <alignment vertical="top"/>
    </xf>
    <xf numFmtId="0" fontId="12" fillId="0" borderId="0" xfId="0" applyFont="1" applyFill="1" applyBorder="1" applyAlignment="1">
      <alignment vertical="top" wrapText="1"/>
    </xf>
    <xf numFmtId="166" fontId="12" fillId="0" borderId="0" xfId="1" applyNumberFormat="1" applyFont="1" applyFill="1" applyBorder="1" applyAlignment="1">
      <alignment vertical="top"/>
    </xf>
    <xf numFmtId="1" fontId="12" fillId="0" borderId="0" xfId="0" applyNumberFormat="1" applyFont="1" applyFill="1" applyBorder="1" applyAlignment="1">
      <alignment vertical="top"/>
    </xf>
    <xf numFmtId="0" fontId="12" fillId="0" borderId="0" xfId="0" applyFont="1" applyFill="1" applyBorder="1" applyAlignment="1">
      <alignment vertical="top"/>
    </xf>
    <xf numFmtId="0" fontId="12" fillId="0" borderId="0" xfId="0" applyFont="1" applyFill="1" applyBorder="1" applyAlignment="1">
      <alignment horizontal="center" vertical="top"/>
    </xf>
    <xf numFmtId="0" fontId="8" fillId="24" borderId="6" xfId="0" applyFont="1" applyFill="1" applyBorder="1" applyAlignment="1">
      <alignment vertical="top" wrapText="1"/>
    </xf>
    <xf numFmtId="0" fontId="9" fillId="24" borderId="7" xfId="0" applyFont="1" applyFill="1" applyBorder="1" applyAlignment="1">
      <alignment vertical="top"/>
    </xf>
    <xf numFmtId="1" fontId="9" fillId="24" borderId="7" xfId="0" applyNumberFormat="1" applyFont="1" applyFill="1" applyBorder="1" applyAlignment="1">
      <alignment vertical="top"/>
    </xf>
    <xf numFmtId="38" fontId="9" fillId="24" borderId="7" xfId="0" applyNumberFormat="1" applyFont="1" applyFill="1" applyBorder="1" applyAlignment="1">
      <alignment vertical="top"/>
    </xf>
    <xf numFmtId="0" fontId="9" fillId="24" borderId="7" xfId="0" applyFont="1" applyFill="1" applyBorder="1" applyAlignment="1">
      <alignment horizontal="center" vertical="top"/>
    </xf>
    <xf numFmtId="0" fontId="9" fillId="24" borderId="7" xfId="0" applyFont="1" applyFill="1" applyBorder="1" applyAlignment="1">
      <alignment vertical="top" wrapText="1"/>
    </xf>
    <xf numFmtId="0" fontId="9" fillId="24" borderId="8" xfId="0" applyFont="1" applyFill="1" applyBorder="1" applyAlignment="1">
      <alignment vertical="top" wrapText="1"/>
    </xf>
    <xf numFmtId="0" fontId="9" fillId="9" borderId="6" xfId="0" applyFont="1" applyFill="1" applyBorder="1" applyAlignment="1">
      <alignment vertical="top" wrapText="1"/>
    </xf>
    <xf numFmtId="1" fontId="9" fillId="9" borderId="7" xfId="0" applyNumberFormat="1" applyFont="1" applyFill="1" applyBorder="1" applyAlignment="1">
      <alignment vertical="top"/>
    </xf>
    <xf numFmtId="38" fontId="9" fillId="9" borderId="7" xfId="0" applyNumberFormat="1" applyFont="1" applyFill="1" applyBorder="1" applyAlignment="1">
      <alignment vertical="top"/>
    </xf>
    <xf numFmtId="0" fontId="9" fillId="9" borderId="7" xfId="0" applyFont="1" applyFill="1" applyBorder="1" applyAlignment="1">
      <alignment horizontal="center" vertical="top"/>
    </xf>
    <xf numFmtId="0" fontId="9" fillId="9" borderId="7" xfId="0" applyFont="1" applyFill="1" applyBorder="1" applyAlignment="1">
      <alignment vertical="top" wrapText="1"/>
    </xf>
    <xf numFmtId="0" fontId="9" fillId="9" borderId="8" xfId="0" applyFont="1" applyFill="1" applyBorder="1" applyAlignment="1">
      <alignment vertical="top" wrapText="1"/>
    </xf>
    <xf numFmtId="0" fontId="9" fillId="9" borderId="10" xfId="0" quotePrefix="1" applyFont="1" applyFill="1" applyBorder="1" applyAlignment="1">
      <alignment vertical="top" wrapText="1"/>
    </xf>
    <xf numFmtId="1" fontId="9" fillId="9" borderId="0" xfId="0" applyNumberFormat="1" applyFont="1" applyFill="1" applyBorder="1" applyAlignment="1">
      <alignment vertical="top"/>
    </xf>
    <xf numFmtId="0" fontId="9" fillId="9" borderId="0" xfId="0" applyFont="1" applyFill="1" applyBorder="1" applyAlignment="1">
      <alignment horizontal="center" vertical="top"/>
    </xf>
    <xf numFmtId="0" fontId="9" fillId="9" borderId="11" xfId="0" applyFont="1" applyFill="1" applyBorder="1" applyAlignment="1">
      <alignment vertical="top" wrapText="1"/>
    </xf>
    <xf numFmtId="43" fontId="9" fillId="9" borderId="13" xfId="1" applyNumberFormat="1" applyFont="1" applyFill="1" applyBorder="1" applyAlignment="1">
      <alignment vertical="top"/>
    </xf>
    <xf numFmtId="43" fontId="9" fillId="9" borderId="14" xfId="1" applyNumberFormat="1" applyFont="1" applyFill="1" applyBorder="1" applyAlignment="1">
      <alignment vertical="top"/>
    </xf>
    <xf numFmtId="1" fontId="9" fillId="9" borderId="14" xfId="0" applyNumberFormat="1" applyFont="1" applyFill="1" applyBorder="1" applyAlignment="1">
      <alignment vertical="top"/>
    </xf>
    <xf numFmtId="0" fontId="9" fillId="9" borderId="14" xfId="0" applyFont="1" applyFill="1" applyBorder="1" applyAlignment="1">
      <alignment horizontal="center" vertical="top"/>
    </xf>
    <xf numFmtId="0" fontId="14" fillId="9" borderId="14" xfId="5" applyFont="1" applyFill="1" applyBorder="1" applyAlignment="1">
      <alignment vertical="top" wrapText="1"/>
    </xf>
    <xf numFmtId="0" fontId="9" fillId="9" borderId="15" xfId="0" applyFont="1" applyFill="1" applyBorder="1" applyAlignment="1">
      <alignment vertical="top" wrapText="1"/>
    </xf>
    <xf numFmtId="0" fontId="9" fillId="9" borderId="0" xfId="0" applyFont="1" applyFill="1" applyBorder="1" applyAlignment="1">
      <alignment vertical="top" wrapText="1"/>
    </xf>
    <xf numFmtId="0" fontId="22" fillId="0" borderId="0" xfId="0" applyFont="1" applyFill="1" applyBorder="1" applyAlignment="1">
      <alignment horizontal="center" vertical="center"/>
    </xf>
    <xf numFmtId="166" fontId="22" fillId="0" borderId="0" xfId="1" applyNumberFormat="1" applyFont="1" applyFill="1" applyBorder="1" applyAlignment="1">
      <alignment horizontal="center" vertical="center"/>
    </xf>
    <xf numFmtId="172" fontId="0" fillId="0" borderId="0" xfId="0" applyNumberFormat="1" applyFill="1" applyBorder="1" applyAlignment="1">
      <alignment horizontal="center" vertical="center"/>
    </xf>
    <xf numFmtId="0" fontId="22" fillId="0" borderId="0" xfId="0" applyFont="1" applyFill="1" applyBorder="1" applyAlignment="1">
      <alignment horizontal="left" vertical="center" wrapText="1"/>
    </xf>
    <xf numFmtId="172" fontId="22" fillId="0" borderId="0" xfId="0" applyNumberFormat="1" applyFont="1" applyFill="1" applyBorder="1" applyAlignment="1">
      <alignment horizontal="center" vertical="center"/>
    </xf>
    <xf numFmtId="171" fontId="2" fillId="0" borderId="0" xfId="3" applyNumberFormat="1" applyBorder="1"/>
    <xf numFmtId="0" fontId="2" fillId="0" borderId="0" xfId="3" applyBorder="1"/>
    <xf numFmtId="0" fontId="9" fillId="0" borderId="0" xfId="74" applyFont="1" applyBorder="1" applyAlignment="1">
      <alignment vertical="top"/>
    </xf>
    <xf numFmtId="0" fontId="5" fillId="0" borderId="0" xfId="74" applyFont="1" applyBorder="1" applyAlignment="1">
      <alignment vertical="top"/>
    </xf>
    <xf numFmtId="165" fontId="5" fillId="0" borderId="0" xfId="74" applyNumberFormat="1" applyFont="1" applyBorder="1" applyAlignment="1">
      <alignment vertical="top"/>
    </xf>
    <xf numFmtId="179" fontId="9" fillId="0" borderId="0" xfId="74" applyNumberFormat="1" applyFont="1" applyBorder="1" applyAlignment="1">
      <alignment horizontal="right" vertical="center"/>
    </xf>
    <xf numFmtId="0" fontId="5" fillId="0" borderId="0" xfId="74" applyFont="1" applyBorder="1" applyAlignment="1">
      <alignment horizontal="right" vertical="center"/>
    </xf>
    <xf numFmtId="178" fontId="5" fillId="0" borderId="15" xfId="74" applyNumberFormat="1" applyFont="1" applyBorder="1" applyAlignment="1">
      <alignment vertical="top"/>
    </xf>
    <xf numFmtId="0" fontId="14" fillId="2" borderId="11" xfId="5" applyFont="1" applyFill="1" applyBorder="1" applyAlignment="1">
      <alignment horizontal="center" vertical="top"/>
    </xf>
    <xf numFmtId="0" fontId="0" fillId="0" borderId="0" xfId="0" applyFont="1" applyBorder="1" applyAlignment="1">
      <alignment vertical="center"/>
    </xf>
    <xf numFmtId="0" fontId="22" fillId="0" borderId="1" xfId="0" applyFont="1" applyFill="1" applyBorder="1" applyAlignment="1">
      <alignment horizontal="center" vertical="center"/>
    </xf>
    <xf numFmtId="0" fontId="0" fillId="0" borderId="1" xfId="0" applyBorder="1" applyAlignment="1">
      <alignment vertical="center" wrapText="1"/>
    </xf>
    <xf numFmtId="0" fontId="22" fillId="0" borderId="1" xfId="0" applyFont="1" applyBorder="1" applyAlignment="1">
      <alignment horizontal="center" vertical="center"/>
    </xf>
    <xf numFmtId="0" fontId="22" fillId="0" borderId="28" xfId="0" applyFont="1" applyBorder="1" applyAlignment="1">
      <alignment horizontal="center" vertical="center"/>
    </xf>
    <xf numFmtId="0" fontId="0" fillId="0" borderId="1" xfId="0" applyFont="1" applyBorder="1" applyAlignment="1">
      <alignment horizontal="center" vertical="center"/>
    </xf>
    <xf numFmtId="182" fontId="0" fillId="0" borderId="0" xfId="0" applyNumberFormat="1" applyFont="1" applyFill="1" applyAlignment="1">
      <alignment vertical="center"/>
    </xf>
    <xf numFmtId="0" fontId="0" fillId="0" borderId="0" xfId="0" applyFont="1" applyAlignment="1">
      <alignment horizontal="center" vertical="center"/>
    </xf>
    <xf numFmtId="169" fontId="0" fillId="0" borderId="0" xfId="0" applyNumberFormat="1" applyFont="1" applyFill="1" applyAlignment="1">
      <alignment vertical="center"/>
    </xf>
    <xf numFmtId="0" fontId="0" fillId="0" borderId="0" xfId="0" applyFont="1" applyFill="1" applyAlignment="1">
      <alignment vertical="center"/>
    </xf>
    <xf numFmtId="183" fontId="0" fillId="0" borderId="0" xfId="2" applyNumberFormat="1" applyFont="1" applyFill="1" applyAlignment="1">
      <alignment vertical="center"/>
    </xf>
    <xf numFmtId="0" fontId="0" fillId="0" borderId="28" xfId="0" applyFont="1" applyBorder="1" applyAlignment="1">
      <alignment vertical="center"/>
    </xf>
    <xf numFmtId="0" fontId="0" fillId="0" borderId="28" xfId="0" applyFont="1" applyBorder="1" applyAlignment="1">
      <alignment horizontal="center" vertical="center"/>
    </xf>
    <xf numFmtId="0" fontId="22" fillId="0" borderId="1" xfId="0" applyFont="1" applyBorder="1" applyAlignment="1">
      <alignment vertical="center"/>
    </xf>
    <xf numFmtId="0" fontId="0" fillId="22" borderId="1" xfId="0" applyFont="1" applyFill="1" applyBorder="1" applyAlignment="1">
      <alignment horizontal="center" vertical="center"/>
    </xf>
    <xf numFmtId="175" fontId="0" fillId="0" borderId="22" xfId="0" applyNumberFormat="1" applyFont="1" applyBorder="1" applyAlignment="1">
      <alignment horizontal="center" vertical="center"/>
    </xf>
    <xf numFmtId="175" fontId="0" fillId="0" borderId="1" xfId="0" applyNumberFormat="1" applyFont="1" applyBorder="1" applyAlignment="1">
      <alignment horizontal="center" vertical="center"/>
    </xf>
    <xf numFmtId="6" fontId="0" fillId="0" borderId="1" xfId="0" applyNumberFormat="1" applyFont="1" applyBorder="1" applyAlignment="1">
      <alignment vertical="center"/>
    </xf>
    <xf numFmtId="8" fontId="0" fillId="0" borderId="1" xfId="0" applyNumberFormat="1" applyFont="1" applyBorder="1" applyAlignment="1">
      <alignment vertical="center"/>
    </xf>
    <xf numFmtId="3" fontId="0" fillId="0" borderId="0" xfId="0" applyNumberFormat="1" applyFont="1" applyAlignment="1">
      <alignment vertical="center"/>
    </xf>
    <xf numFmtId="0" fontId="22" fillId="23" borderId="1" xfId="0" applyFont="1" applyFill="1" applyBorder="1" applyAlignment="1">
      <alignment vertical="center"/>
    </xf>
    <xf numFmtId="0" fontId="37" fillId="23" borderId="28" xfId="0" applyFont="1" applyFill="1" applyBorder="1" applyAlignment="1">
      <alignment horizontal="center" vertical="center"/>
    </xf>
    <xf numFmtId="0" fontId="0" fillId="0" borderId="0" xfId="0" applyFill="1" applyBorder="1" applyAlignment="1">
      <alignment vertical="center" wrapText="1"/>
    </xf>
    <xf numFmtId="0" fontId="0" fillId="0" borderId="35" xfId="0" applyFont="1" applyBorder="1" applyAlignment="1">
      <alignment vertical="center"/>
    </xf>
    <xf numFmtId="0" fontId="22" fillId="23" borderId="49" xfId="0" applyFont="1" applyFill="1" applyBorder="1" applyAlignment="1">
      <alignment horizontal="center" vertical="center"/>
    </xf>
    <xf numFmtId="0" fontId="0" fillId="0" borderId="0" xfId="0"/>
    <xf numFmtId="0" fontId="0" fillId="0" borderId="0" xfId="0" applyFill="1" applyAlignment="1">
      <alignment vertical="center" wrapText="1"/>
    </xf>
    <xf numFmtId="0" fontId="0" fillId="0" borderId="0" xfId="0" applyAlignment="1">
      <alignment wrapText="1"/>
    </xf>
    <xf numFmtId="0" fontId="42" fillId="0" borderId="0" xfId="0" applyFont="1" applyFill="1" applyAlignment="1">
      <alignment horizontal="center" vertical="center"/>
    </xf>
    <xf numFmtId="0" fontId="9" fillId="24" borderId="18" xfId="0" applyFont="1" applyFill="1" applyBorder="1" applyAlignment="1">
      <alignment horizontal="center" vertical="center"/>
    </xf>
    <xf numFmtId="3" fontId="0" fillId="0" borderId="0" xfId="0" applyNumberFormat="1" applyFill="1" applyAlignment="1">
      <alignment vertical="center" wrapText="1"/>
    </xf>
    <xf numFmtId="3" fontId="0" fillId="15" borderId="0" xfId="1" applyNumberFormat="1" applyFont="1" applyFill="1" applyAlignment="1">
      <alignment vertical="center" wrapText="1"/>
    </xf>
    <xf numFmtId="3" fontId="0" fillId="0" borderId="0" xfId="1" applyNumberFormat="1" applyFont="1" applyAlignment="1">
      <alignment vertical="center" wrapText="1"/>
    </xf>
    <xf numFmtId="3" fontId="0" fillId="15" borderId="0" xfId="0" applyNumberFormat="1" applyFill="1" applyAlignment="1">
      <alignment vertical="center" wrapText="1"/>
    </xf>
    <xf numFmtId="171" fontId="0" fillId="0" borderId="0" xfId="0" applyNumberFormat="1" applyFill="1" applyAlignment="1">
      <alignment vertical="center" wrapText="1"/>
    </xf>
    <xf numFmtId="0" fontId="13" fillId="0" borderId="0" xfId="0" applyFont="1" applyAlignment="1">
      <alignment vertical="center"/>
    </xf>
    <xf numFmtId="0" fontId="5" fillId="0" borderId="0" xfId="0" applyFont="1" applyAlignment="1">
      <alignment vertical="center"/>
    </xf>
    <xf numFmtId="0" fontId="9" fillId="23" borderId="1" xfId="0" applyFont="1" applyFill="1" applyBorder="1" applyAlignment="1">
      <alignment horizontal="center" vertical="center" wrapText="1"/>
    </xf>
    <xf numFmtId="0" fontId="9" fillId="0" borderId="1" xfId="0" quotePrefix="1" applyFont="1" applyFill="1" applyBorder="1" applyAlignment="1">
      <alignment vertical="center" wrapText="1"/>
    </xf>
    <xf numFmtId="0" fontId="0" fillId="0" borderId="1" xfId="0" applyBorder="1"/>
    <xf numFmtId="43" fontId="0" fillId="0" borderId="1" xfId="0" applyNumberFormat="1" applyBorder="1"/>
    <xf numFmtId="186" fontId="0" fillId="0" borderId="1" xfId="0" applyNumberFormat="1" applyBorder="1"/>
    <xf numFmtId="0" fontId="0" fillId="15" borderId="0" xfId="0" applyFill="1"/>
    <xf numFmtId="0" fontId="0" fillId="19" borderId="0" xfId="0" applyFill="1" applyBorder="1"/>
    <xf numFmtId="0" fontId="0" fillId="0" borderId="43" xfId="0" applyBorder="1"/>
    <xf numFmtId="0" fontId="22" fillId="23" borderId="49" xfId="0" applyFont="1" applyFill="1" applyBorder="1" applyAlignment="1">
      <alignment horizontal="center" vertical="center" wrapText="1"/>
    </xf>
    <xf numFmtId="2" fontId="0" fillId="0" borderId="0" xfId="0" applyNumberFormat="1" applyAlignment="1">
      <alignment wrapText="1"/>
    </xf>
    <xf numFmtId="0" fontId="9" fillId="0" borderId="0" xfId="0" applyFont="1" applyFill="1" applyBorder="1" applyAlignment="1">
      <alignment horizontal="center" vertical="center"/>
    </xf>
    <xf numFmtId="2" fontId="0" fillId="0" borderId="0" xfId="0" applyNumberFormat="1" applyFill="1" applyBorder="1" applyAlignment="1">
      <alignment wrapText="1"/>
    </xf>
    <xf numFmtId="0" fontId="0" fillId="0" borderId="63" xfId="0" applyBorder="1"/>
    <xf numFmtId="43" fontId="0" fillId="0" borderId="63" xfId="0" applyNumberFormat="1" applyBorder="1"/>
    <xf numFmtId="43" fontId="0" fillId="0" borderId="43" xfId="0" applyNumberFormat="1" applyBorder="1"/>
    <xf numFmtId="0" fontId="0" fillId="0" borderId="62" xfId="0" applyFill="1" applyBorder="1"/>
    <xf numFmtId="0" fontId="0" fillId="0" borderId="35" xfId="0" applyFill="1" applyBorder="1"/>
    <xf numFmtId="0" fontId="0" fillId="0" borderId="39" xfId="0" applyFill="1" applyBorder="1"/>
    <xf numFmtId="186" fontId="0" fillId="0" borderId="63" xfId="0" applyNumberFormat="1" applyBorder="1"/>
    <xf numFmtId="186" fontId="0" fillId="0" borderId="64" xfId="0" applyNumberFormat="1" applyBorder="1"/>
    <xf numFmtId="186" fontId="0" fillId="0" borderId="37" xfId="0" applyNumberFormat="1" applyBorder="1"/>
    <xf numFmtId="186" fontId="0" fillId="0" borderId="43" xfId="0" applyNumberFormat="1" applyBorder="1"/>
    <xf numFmtId="186" fontId="0" fillId="0" borderId="40" xfId="0" applyNumberFormat="1" applyBorder="1"/>
    <xf numFmtId="186" fontId="0" fillId="5" borderId="1" xfId="0" applyNumberFormat="1" applyFill="1" applyBorder="1"/>
    <xf numFmtId="186" fontId="0" fillId="5" borderId="43" xfId="0" applyNumberFormat="1" applyFill="1" applyBorder="1"/>
    <xf numFmtId="0" fontId="0" fillId="9" borderId="35" xfId="0" applyFill="1" applyBorder="1"/>
    <xf numFmtId="0" fontId="0" fillId="9" borderId="1" xfId="0" applyFill="1" applyBorder="1"/>
    <xf numFmtId="186" fontId="0" fillId="9" borderId="1" xfId="0" applyNumberFormat="1" applyFill="1" applyBorder="1"/>
    <xf numFmtId="186" fontId="0" fillId="9" borderId="37" xfId="0" applyNumberFormat="1" applyFill="1" applyBorder="1"/>
    <xf numFmtId="0" fontId="0" fillId="9" borderId="39" xfId="0" applyFill="1" applyBorder="1"/>
    <xf numFmtId="0" fontId="0" fillId="9" borderId="43" xfId="0" applyFill="1" applyBorder="1"/>
    <xf numFmtId="186" fontId="0" fillId="9" borderId="43" xfId="0" applyNumberFormat="1" applyFill="1" applyBorder="1"/>
    <xf numFmtId="186" fontId="0" fillId="9" borderId="40" xfId="0" applyNumberFormat="1" applyFill="1" applyBorder="1"/>
    <xf numFmtId="0" fontId="0" fillId="9" borderId="62" xfId="0" applyFill="1" applyBorder="1"/>
    <xf numFmtId="0" fontId="0" fillId="9" borderId="63" xfId="0" applyFill="1" applyBorder="1"/>
    <xf numFmtId="43" fontId="0" fillId="9" borderId="1" xfId="0" applyNumberFormat="1" applyFill="1" applyBorder="1"/>
    <xf numFmtId="43" fontId="0" fillId="9" borderId="37" xfId="0" applyNumberFormat="1" applyFill="1" applyBorder="1"/>
    <xf numFmtId="43" fontId="0" fillId="9" borderId="43" xfId="0" applyNumberFormat="1" applyFill="1" applyBorder="1"/>
    <xf numFmtId="43" fontId="0" fillId="9" borderId="40" xfId="0" applyNumberFormat="1" applyFill="1" applyBorder="1"/>
    <xf numFmtId="186" fontId="0" fillId="9" borderId="63" xfId="0" applyNumberFormat="1" applyFill="1" applyBorder="1"/>
    <xf numFmtId="186" fontId="0" fillId="9" borderId="64" xfId="0" applyNumberFormat="1" applyFill="1" applyBorder="1"/>
    <xf numFmtId="0" fontId="0" fillId="19" borderId="0" xfId="0" applyFill="1"/>
    <xf numFmtId="0" fontId="35" fillId="19" borderId="0" xfId="0" applyNumberFormat="1" applyFont="1" applyFill="1" applyBorder="1"/>
    <xf numFmtId="187" fontId="0" fillId="19" borderId="0" xfId="0" applyNumberFormat="1" applyFill="1"/>
    <xf numFmtId="43" fontId="0" fillId="9" borderId="24" xfId="0" applyNumberFormat="1" applyFill="1" applyBorder="1"/>
    <xf numFmtId="43" fontId="0" fillId="9" borderId="41" xfId="0" applyNumberFormat="1" applyFill="1" applyBorder="1"/>
    <xf numFmtId="43" fontId="0" fillId="0" borderId="68" xfId="0" applyNumberFormat="1" applyBorder="1"/>
    <xf numFmtId="43" fontId="0" fillId="0" borderId="24" xfId="0" applyNumberFormat="1" applyBorder="1"/>
    <xf numFmtId="43" fontId="0" fillId="0" borderId="41" xfId="0" applyNumberFormat="1" applyBorder="1"/>
    <xf numFmtId="186" fontId="0" fillId="9" borderId="68" xfId="0" applyNumberFormat="1" applyFill="1" applyBorder="1"/>
    <xf numFmtId="186" fontId="0" fillId="9" borderId="24" xfId="0" applyNumberFormat="1" applyFill="1" applyBorder="1"/>
    <xf numFmtId="186" fontId="0" fillId="9" borderId="41" xfId="0" applyNumberFormat="1" applyFill="1" applyBorder="1"/>
    <xf numFmtId="186" fontId="0" fillId="0" borderId="68" xfId="0" applyNumberFormat="1" applyBorder="1"/>
    <xf numFmtId="186" fontId="0" fillId="0" borderId="24" xfId="0" applyNumberFormat="1" applyBorder="1"/>
    <xf numFmtId="186" fontId="0" fillId="0" borderId="41" xfId="0" applyNumberFormat="1" applyBorder="1"/>
    <xf numFmtId="43" fontId="0" fillId="9" borderId="22" xfId="0" applyNumberFormat="1" applyFill="1" applyBorder="1"/>
    <xf numFmtId="43" fontId="0" fillId="9" borderId="70" xfId="0" applyNumberFormat="1" applyFill="1" applyBorder="1"/>
    <xf numFmtId="43" fontId="0" fillId="0" borderId="69" xfId="0" applyNumberFormat="1" applyBorder="1"/>
    <xf numFmtId="43" fontId="0" fillId="0" borderId="22" xfId="0" applyNumberFormat="1" applyBorder="1"/>
    <xf numFmtId="43" fontId="0" fillId="0" borderId="70" xfId="0" applyNumberFormat="1" applyBorder="1"/>
    <xf numFmtId="186" fontId="0" fillId="9" borderId="69" xfId="0" applyNumberFormat="1" applyFill="1" applyBorder="1"/>
    <xf numFmtId="186" fontId="0" fillId="9" borderId="22" xfId="0" applyNumberFormat="1" applyFill="1" applyBorder="1"/>
    <xf numFmtId="186" fontId="0" fillId="9" borderId="70" xfId="0" applyNumberFormat="1" applyFill="1" applyBorder="1"/>
    <xf numFmtId="186" fontId="0" fillId="0" borderId="69" xfId="0" applyNumberFormat="1" applyBorder="1"/>
    <xf numFmtId="186" fontId="0" fillId="0" borderId="22" xfId="0" applyNumberFormat="1" applyBorder="1"/>
    <xf numFmtId="186" fontId="0" fillId="0" borderId="70" xfId="0" applyNumberFormat="1" applyBorder="1"/>
    <xf numFmtId="43" fontId="0" fillId="9" borderId="65" xfId="0" applyNumberFormat="1" applyFill="1" applyBorder="1"/>
    <xf numFmtId="43" fontId="0" fillId="9" borderId="66" xfId="0" applyNumberFormat="1" applyFill="1" applyBorder="1"/>
    <xf numFmtId="43" fontId="0" fillId="0" borderId="58" xfId="0" applyNumberFormat="1" applyBorder="1"/>
    <xf numFmtId="43" fontId="0" fillId="0" borderId="65" xfId="0" applyNumberFormat="1" applyBorder="1"/>
    <xf numFmtId="43" fontId="0" fillId="0" borderId="66" xfId="0" applyNumberFormat="1" applyBorder="1"/>
    <xf numFmtId="186" fontId="0" fillId="9" borderId="58" xfId="0" applyNumberFormat="1" applyFill="1" applyBorder="1"/>
    <xf numFmtId="186" fontId="0" fillId="9" borderId="65" xfId="0" applyNumberFormat="1" applyFill="1" applyBorder="1"/>
    <xf numFmtId="186" fontId="0" fillId="9" borderId="66" xfId="0" applyNumberFormat="1" applyFill="1" applyBorder="1"/>
    <xf numFmtId="43" fontId="0" fillId="20" borderId="67" xfId="0" applyNumberFormat="1" applyFill="1" applyBorder="1"/>
    <xf numFmtId="43" fontId="0" fillId="20" borderId="36" xfId="0" applyNumberFormat="1" applyFill="1" applyBorder="1"/>
    <xf numFmtId="43" fontId="0" fillId="20" borderId="42" xfId="0" applyNumberFormat="1" applyFill="1" applyBorder="1"/>
    <xf numFmtId="186" fontId="0" fillId="20" borderId="67" xfId="0" applyNumberFormat="1" applyFill="1" applyBorder="1"/>
    <xf numFmtId="186" fontId="0" fillId="20" borderId="36" xfId="0" applyNumberFormat="1" applyFill="1" applyBorder="1"/>
    <xf numFmtId="186" fontId="0" fillId="20" borderId="42" xfId="0" applyNumberFormat="1" applyFill="1" applyBorder="1"/>
    <xf numFmtId="43" fontId="0" fillId="5" borderId="67" xfId="0" applyNumberFormat="1" applyFill="1" applyBorder="1"/>
    <xf numFmtId="43" fontId="0" fillId="5" borderId="36" xfId="0" applyNumberFormat="1" applyFill="1" applyBorder="1"/>
    <xf numFmtId="43" fontId="0" fillId="5" borderId="42" xfId="0" applyNumberFormat="1" applyFill="1" applyBorder="1"/>
    <xf numFmtId="186" fontId="0" fillId="5" borderId="67" xfId="0" applyNumberFormat="1" applyFill="1" applyBorder="1"/>
    <xf numFmtId="186" fontId="0" fillId="5" borderId="36" xfId="0" applyNumberFormat="1" applyFill="1" applyBorder="1"/>
    <xf numFmtId="186" fontId="0" fillId="5" borderId="42" xfId="0" applyNumberFormat="1" applyFill="1" applyBorder="1"/>
    <xf numFmtId="43" fontId="0" fillId="5" borderId="63" xfId="0" applyNumberFormat="1" applyFill="1" applyBorder="1"/>
    <xf numFmtId="43" fontId="0" fillId="5" borderId="1" xfId="0" applyNumberFormat="1" applyFill="1" applyBorder="1"/>
    <xf numFmtId="43" fontId="0" fillId="5" borderId="43" xfId="0" applyNumberFormat="1" applyFill="1" applyBorder="1"/>
    <xf numFmtId="186" fontId="0" fillId="5" borderId="63" xfId="0" applyNumberFormat="1" applyFill="1" applyBorder="1"/>
    <xf numFmtId="43" fontId="0" fillId="9" borderId="28" xfId="0" applyNumberFormat="1" applyFill="1" applyBorder="1"/>
    <xf numFmtId="43" fontId="0" fillId="5" borderId="28" xfId="0" applyNumberFormat="1" applyFill="1" applyBorder="1"/>
    <xf numFmtId="43" fontId="0" fillId="9" borderId="46" xfId="0" applyNumberFormat="1" applyFill="1" applyBorder="1"/>
    <xf numFmtId="0" fontId="0" fillId="9" borderId="45" xfId="0" applyFill="1" applyBorder="1"/>
    <xf numFmtId="0" fontId="0" fillId="9" borderId="28" xfId="0" applyFill="1" applyBorder="1"/>
    <xf numFmtId="43" fontId="0" fillId="9" borderId="4" xfId="0" applyNumberFormat="1" applyFill="1" applyBorder="1"/>
    <xf numFmtId="43" fontId="0" fillId="20" borderId="52" xfId="0" applyNumberFormat="1" applyFill="1" applyBorder="1"/>
    <xf numFmtId="43" fontId="0" fillId="9" borderId="5" xfId="0" applyNumberFormat="1" applyFill="1" applyBorder="1"/>
    <xf numFmtId="186" fontId="0" fillId="19" borderId="63" xfId="0" applyNumberFormat="1" applyFill="1" applyBorder="1"/>
    <xf numFmtId="186" fontId="0" fillId="19" borderId="1" xfId="0" applyNumberFormat="1" applyFill="1" applyBorder="1"/>
    <xf numFmtId="186" fontId="0" fillId="19" borderId="43" xfId="0" applyNumberFormat="1" applyFill="1" applyBorder="1"/>
    <xf numFmtId="43" fontId="0" fillId="19" borderId="22" xfId="0" applyNumberFormat="1" applyFill="1" applyBorder="1"/>
    <xf numFmtId="43" fontId="0" fillId="5" borderId="52" xfId="0" applyNumberFormat="1" applyFill="1" applyBorder="1"/>
    <xf numFmtId="43" fontId="0" fillId="9" borderId="71" xfId="0" applyNumberFormat="1" applyFill="1" applyBorder="1"/>
    <xf numFmtId="0" fontId="22" fillId="23" borderId="49" xfId="0" applyFont="1" applyFill="1" applyBorder="1" applyAlignment="1">
      <alignment horizontal="center" vertical="center" wrapText="1"/>
    </xf>
    <xf numFmtId="0" fontId="22" fillId="20" borderId="49" xfId="0" applyFont="1" applyFill="1" applyBorder="1" applyAlignment="1">
      <alignment horizontal="center" vertical="center" wrapText="1"/>
    </xf>
    <xf numFmtId="0" fontId="22" fillId="5" borderId="49" xfId="0" applyFont="1" applyFill="1" applyBorder="1" applyAlignment="1">
      <alignment horizontal="center" vertical="center" wrapText="1"/>
    </xf>
    <xf numFmtId="0" fontId="22" fillId="0" borderId="1" xfId="0" applyFont="1" applyBorder="1" applyAlignment="1">
      <alignment horizontal="center" vertical="center"/>
    </xf>
    <xf numFmtId="0" fontId="45" fillId="0" borderId="0" xfId="0" applyFont="1" applyBorder="1" applyAlignment="1">
      <alignment vertical="center"/>
    </xf>
    <xf numFmtId="0" fontId="9" fillId="0" borderId="1" xfId="0" applyFont="1" applyBorder="1" applyAlignment="1">
      <alignment vertical="center"/>
    </xf>
    <xf numFmtId="0" fontId="9" fillId="0" borderId="1" xfId="0" applyFont="1" applyBorder="1" applyAlignment="1">
      <alignment horizontal="center" vertical="center"/>
    </xf>
    <xf numFmtId="0" fontId="0" fillId="0" borderId="63" xfId="0" applyFill="1" applyBorder="1"/>
    <xf numFmtId="43" fontId="0" fillId="0" borderId="63" xfId="0" applyNumberFormat="1" applyFill="1" applyBorder="1"/>
    <xf numFmtId="43" fontId="0" fillId="0" borderId="69" xfId="0" applyNumberFormat="1" applyFill="1" applyBorder="1"/>
    <xf numFmtId="43" fontId="0" fillId="0" borderId="68" xfId="0" applyNumberFormat="1" applyFill="1" applyBorder="1"/>
    <xf numFmtId="43" fontId="0" fillId="0" borderId="22" xfId="0" applyNumberFormat="1" applyFill="1" applyBorder="1"/>
    <xf numFmtId="43" fontId="0" fillId="0" borderId="58" xfId="0" applyNumberFormat="1" applyFill="1" applyBorder="1"/>
    <xf numFmtId="0" fontId="0" fillId="0" borderId="0" xfId="0" applyFill="1"/>
    <xf numFmtId="43" fontId="0" fillId="0" borderId="64" xfId="0" applyNumberFormat="1" applyFill="1" applyBorder="1"/>
    <xf numFmtId="0" fontId="0" fillId="0" borderId="1" xfId="0" applyFill="1" applyBorder="1"/>
    <xf numFmtId="43" fontId="0" fillId="0" borderId="1" xfId="0" applyNumberFormat="1" applyFill="1" applyBorder="1"/>
    <xf numFmtId="43" fontId="0" fillId="0" borderId="24" xfId="0" applyNumberFormat="1" applyFill="1" applyBorder="1"/>
    <xf numFmtId="43" fontId="0" fillId="0" borderId="65" xfId="0" applyNumberFormat="1" applyFill="1" applyBorder="1"/>
    <xf numFmtId="43" fontId="0" fillId="0" borderId="37" xfId="0" applyNumberFormat="1" applyFill="1" applyBorder="1"/>
    <xf numFmtId="0" fontId="0" fillId="0" borderId="43" xfId="0" applyFill="1" applyBorder="1"/>
    <xf numFmtId="43" fontId="0" fillId="0" borderId="43" xfId="0" applyNumberFormat="1" applyFill="1" applyBorder="1"/>
    <xf numFmtId="43" fontId="0" fillId="0" borderId="70" xfId="0" applyNumberFormat="1" applyFill="1" applyBorder="1"/>
    <xf numFmtId="43" fontId="0" fillId="0" borderId="41" xfId="0" applyNumberFormat="1" applyFill="1" applyBorder="1"/>
    <xf numFmtId="43" fontId="0" fillId="0" borderId="66" xfId="0" applyNumberFormat="1" applyFill="1" applyBorder="1"/>
    <xf numFmtId="43" fontId="0" fillId="0" borderId="40" xfId="0" applyNumberFormat="1" applyFill="1" applyBorder="1"/>
    <xf numFmtId="0" fontId="0" fillId="19" borderId="62" xfId="0" applyFill="1" applyBorder="1"/>
    <xf numFmtId="0" fontId="0" fillId="19" borderId="63" xfId="0" applyFill="1" applyBorder="1"/>
    <xf numFmtId="43" fontId="0" fillId="19" borderId="63" xfId="0" applyNumberFormat="1" applyFill="1" applyBorder="1"/>
    <xf numFmtId="0" fontId="0" fillId="19" borderId="35" xfId="0" applyFill="1" applyBorder="1"/>
    <xf numFmtId="0" fontId="0" fillId="19" borderId="1" xfId="0" applyFill="1" applyBorder="1"/>
    <xf numFmtId="43" fontId="0" fillId="19" borderId="1" xfId="0" applyNumberFormat="1" applyFill="1" applyBorder="1"/>
    <xf numFmtId="0" fontId="0" fillId="19" borderId="39" xfId="0" applyFill="1" applyBorder="1"/>
    <xf numFmtId="0" fontId="0" fillId="19" borderId="43" xfId="0" applyFill="1" applyBorder="1"/>
    <xf numFmtId="43" fontId="0" fillId="19" borderId="43" xfId="0" applyNumberFormat="1" applyFill="1" applyBorder="1"/>
    <xf numFmtId="43" fontId="0" fillId="19" borderId="69" xfId="0" applyNumberFormat="1" applyFill="1" applyBorder="1"/>
    <xf numFmtId="43" fontId="0" fillId="19" borderId="68" xfId="0" applyNumberFormat="1" applyFill="1" applyBorder="1"/>
    <xf numFmtId="43" fontId="0" fillId="19" borderId="24" xfId="0" applyNumberFormat="1" applyFill="1" applyBorder="1"/>
    <xf numFmtId="43" fontId="0" fillId="19" borderId="70" xfId="0" applyNumberFormat="1" applyFill="1" applyBorder="1"/>
    <xf numFmtId="43" fontId="0" fillId="19" borderId="41" xfId="0" applyNumberFormat="1" applyFill="1" applyBorder="1"/>
    <xf numFmtId="43" fontId="0" fillId="19" borderId="58" xfId="0" applyNumberFormat="1" applyFill="1" applyBorder="1"/>
    <xf numFmtId="43" fontId="0" fillId="19" borderId="65" xfId="0" applyNumberFormat="1" applyFill="1" applyBorder="1"/>
    <xf numFmtId="43" fontId="0" fillId="19" borderId="66" xfId="0" applyNumberFormat="1" applyFill="1" applyBorder="1"/>
    <xf numFmtId="0" fontId="22" fillId="23" borderId="1" xfId="0" applyFont="1" applyFill="1" applyBorder="1" applyAlignment="1">
      <alignment horizontal="center" vertical="center" wrapText="1"/>
    </xf>
    <xf numFmtId="0" fontId="22" fillId="23" borderId="49" xfId="0" applyFont="1" applyFill="1" applyBorder="1" applyAlignment="1">
      <alignment horizontal="center" vertical="center" wrapText="1"/>
    </xf>
    <xf numFmtId="0" fontId="0" fillId="0" borderId="0" xfId="0"/>
    <xf numFmtId="0" fontId="39" fillId="0" borderId="0" xfId="0" applyFont="1"/>
    <xf numFmtId="180" fontId="39" fillId="0" borderId="1" xfId="0" applyNumberFormat="1" applyFont="1" applyBorder="1" applyAlignment="1">
      <alignment horizontal="center" vertical="center"/>
    </xf>
    <xf numFmtId="165" fontId="39" fillId="0" borderId="1" xfId="0" applyNumberFormat="1" applyFont="1" applyBorder="1" applyAlignment="1">
      <alignment horizontal="center" vertical="center"/>
    </xf>
    <xf numFmtId="171" fontId="39" fillId="0" borderId="28" xfId="0" applyNumberFormat="1" applyFont="1" applyBorder="1" applyAlignment="1">
      <alignment horizontal="center" vertical="center"/>
    </xf>
    <xf numFmtId="0" fontId="39" fillId="0" borderId="24" xfId="0" applyFont="1" applyBorder="1" applyAlignment="1">
      <alignment vertical="center"/>
    </xf>
    <xf numFmtId="180" fontId="39" fillId="0" borderId="28" xfId="0" applyNumberFormat="1" applyFont="1" applyBorder="1" applyAlignment="1">
      <alignment horizontal="center" vertical="center"/>
    </xf>
    <xf numFmtId="0" fontId="40" fillId="25" borderId="1" xfId="0" applyFont="1" applyFill="1" applyBorder="1" applyAlignment="1">
      <alignment horizontal="center" vertical="center" wrapText="1"/>
    </xf>
    <xf numFmtId="0" fontId="37" fillId="25" borderId="1" xfId="0" applyFont="1" applyFill="1" applyBorder="1" applyAlignment="1">
      <alignment horizontal="center" vertical="center" wrapText="1"/>
    </xf>
    <xf numFmtId="2" fontId="39" fillId="0" borderId="0" xfId="0" applyNumberFormat="1" applyFont="1" applyFill="1" applyBorder="1" applyAlignment="1">
      <alignment horizontal="center" vertical="center" wrapText="1"/>
    </xf>
    <xf numFmtId="2" fontId="37" fillId="0" borderId="0" xfId="0" applyNumberFormat="1" applyFont="1" applyFill="1" applyBorder="1" applyAlignment="1">
      <alignment horizontal="center" vertical="center" wrapText="1"/>
    </xf>
    <xf numFmtId="181" fontId="39" fillId="0" borderId="0" xfId="0" applyNumberFormat="1" applyFont="1" applyAlignment="1">
      <alignment vertical="center"/>
    </xf>
    <xf numFmtId="0" fontId="35" fillId="0" borderId="0" xfId="0" applyFont="1"/>
    <xf numFmtId="0" fontId="45" fillId="0" borderId="0" xfId="0" applyFont="1" applyAlignment="1">
      <alignment vertical="center"/>
    </xf>
    <xf numFmtId="0" fontId="45" fillId="0" borderId="0" xfId="0" applyFont="1" applyFill="1" applyBorder="1" applyAlignment="1">
      <alignment vertical="center"/>
    </xf>
    <xf numFmtId="0" fontId="5" fillId="19" borderId="0" xfId="0" applyFont="1" applyFill="1" applyBorder="1" applyAlignment="1">
      <alignment vertical="center"/>
    </xf>
    <xf numFmtId="0" fontId="22" fillId="2" borderId="10" xfId="0" applyFont="1" applyFill="1" applyBorder="1" applyAlignment="1">
      <alignment vertical="top"/>
    </xf>
    <xf numFmtId="0" fontId="0" fillId="0" borderId="0" xfId="0" applyFont="1" applyAlignment="1">
      <alignment vertical="top"/>
    </xf>
    <xf numFmtId="0" fontId="22" fillId="2" borderId="0" xfId="0" applyFont="1" applyFill="1" applyBorder="1" applyAlignment="1">
      <alignment vertical="top"/>
    </xf>
    <xf numFmtId="166" fontId="22" fillId="2" borderId="11" xfId="1" applyNumberFormat="1" applyFont="1" applyFill="1" applyBorder="1" applyAlignment="1">
      <alignment vertical="top"/>
    </xf>
    <xf numFmtId="166" fontId="22" fillId="2" borderId="0" xfId="1" applyNumberFormat="1" applyFont="1" applyFill="1" applyBorder="1" applyAlignment="1">
      <alignment vertical="top"/>
    </xf>
    <xf numFmtId="166" fontId="32" fillId="2" borderId="11" xfId="1" applyNumberFormat="1" applyFont="1" applyFill="1" applyBorder="1" applyAlignment="1">
      <alignment vertical="top"/>
    </xf>
    <xf numFmtId="166" fontId="22" fillId="7" borderId="0" xfId="1" applyNumberFormat="1" applyFont="1" applyFill="1" applyAlignment="1">
      <alignment vertical="top"/>
    </xf>
    <xf numFmtId="166" fontId="22" fillId="19" borderId="0" xfId="1" applyNumberFormat="1" applyFont="1" applyFill="1" applyAlignment="1">
      <alignment vertical="top"/>
    </xf>
    <xf numFmtId="0" fontId="22" fillId="2" borderId="10" xfId="0" applyFont="1" applyFill="1" applyBorder="1" applyAlignment="1">
      <alignment vertical="top" wrapText="1"/>
    </xf>
    <xf numFmtId="0" fontId="0" fillId="19" borderId="0" xfId="0" applyFont="1" applyFill="1" applyAlignment="1">
      <alignment vertical="top"/>
    </xf>
    <xf numFmtId="0" fontId="5" fillId="19" borderId="0" xfId="0" applyFont="1" applyFill="1" applyAlignment="1">
      <alignment vertical="top"/>
    </xf>
    <xf numFmtId="0" fontId="5" fillId="0" borderId="0" xfId="0" applyFont="1" applyFill="1" applyBorder="1" applyAlignment="1">
      <alignment vertical="center"/>
    </xf>
    <xf numFmtId="0" fontId="20" fillId="6" borderId="10" xfId="0" applyFont="1" applyFill="1" applyBorder="1" applyAlignment="1">
      <alignment vertical="top" wrapText="1"/>
    </xf>
    <xf numFmtId="0" fontId="0" fillId="0" borderId="0" xfId="0" applyFont="1"/>
    <xf numFmtId="0" fontId="22" fillId="0" borderId="0" xfId="0" applyFont="1"/>
    <xf numFmtId="0" fontId="0" fillId="0" borderId="0" xfId="0" applyFont="1" applyFill="1"/>
    <xf numFmtId="0" fontId="22" fillId="0" borderId="1" xfId="0" applyFont="1" applyBorder="1"/>
    <xf numFmtId="0" fontId="0" fillId="0" borderId="1" xfId="0" applyFont="1" applyBorder="1"/>
    <xf numFmtId="0" fontId="0" fillId="0" borderId="1" xfId="0" applyFont="1" applyBorder="1" applyAlignment="1">
      <alignment horizontal="center"/>
    </xf>
    <xf numFmtId="0" fontId="50" fillId="0" borderId="0" xfId="0" applyFont="1" applyAlignment="1">
      <alignment vertical="center" wrapText="1"/>
    </xf>
    <xf numFmtId="0" fontId="22" fillId="0" borderId="0" xfId="0" applyFont="1" applyFill="1" applyBorder="1" applyAlignment="1">
      <alignment vertical="center" wrapText="1"/>
    </xf>
    <xf numFmtId="0" fontId="22" fillId="0" borderId="0" xfId="0" applyFont="1" applyBorder="1" applyAlignment="1">
      <alignment vertical="center" textRotation="90"/>
    </xf>
    <xf numFmtId="3" fontId="0" fillId="20" borderId="1" xfId="0" applyNumberFormat="1" applyFont="1" applyFill="1" applyBorder="1" applyAlignment="1">
      <alignment horizontal="center" vertical="center"/>
    </xf>
    <xf numFmtId="6" fontId="22" fillId="16" borderId="29" xfId="115" applyNumberFormat="1" applyFont="1" applyAlignment="1">
      <alignment vertical="center"/>
    </xf>
    <xf numFmtId="3" fontId="0" fillId="0" borderId="0" xfId="0" applyNumberFormat="1" applyFont="1" applyAlignment="1">
      <alignment horizontal="center"/>
    </xf>
    <xf numFmtId="3" fontId="48" fillId="14" borderId="21" xfId="114" applyNumberFormat="1" applyFont="1" applyAlignment="1">
      <alignment horizontal="right" vertical="center"/>
    </xf>
    <xf numFmtId="0" fontId="0" fillId="0" borderId="0" xfId="0" quotePrefix="1" applyFont="1" applyFill="1" applyAlignment="1">
      <alignment vertical="center"/>
    </xf>
    <xf numFmtId="166" fontId="22" fillId="0" borderId="1" xfId="1" applyNumberFormat="1" applyFont="1" applyBorder="1" applyAlignment="1">
      <alignment horizontal="right" vertical="center"/>
    </xf>
    <xf numFmtId="43" fontId="0" fillId="0" borderId="1" xfId="1" applyNumberFormat="1" applyFont="1" applyBorder="1" applyAlignment="1">
      <alignment horizontal="right" vertical="center"/>
    </xf>
    <xf numFmtId="0" fontId="22" fillId="0" borderId="1" xfId="1" applyNumberFormat="1" applyFont="1" applyBorder="1" applyAlignment="1">
      <alignment horizontal="right" vertical="center"/>
    </xf>
    <xf numFmtId="0" fontId="0" fillId="0" borderId="0" xfId="0" applyFont="1" applyFill="1" applyAlignment="1">
      <alignment horizontal="left" vertical="top"/>
    </xf>
    <xf numFmtId="0" fontId="0" fillId="0" borderId="0" xfId="0" applyFont="1" applyAlignment="1">
      <alignment horizontal="left" vertical="top"/>
    </xf>
    <xf numFmtId="173" fontId="0" fillId="0" borderId="0" xfId="0" applyNumberFormat="1" applyFont="1" applyAlignment="1">
      <alignment vertical="center"/>
    </xf>
    <xf numFmtId="0" fontId="0" fillId="0" borderId="0" xfId="0" applyFont="1" applyFill="1" applyAlignment="1">
      <alignment vertical="top"/>
    </xf>
    <xf numFmtId="0" fontId="0" fillId="0" borderId="0" xfId="0" applyFont="1" applyFill="1" applyBorder="1" applyAlignment="1">
      <alignment vertical="top"/>
    </xf>
    <xf numFmtId="0" fontId="22" fillId="0" borderId="1" xfId="0" applyFont="1" applyBorder="1" applyAlignment="1">
      <alignment horizontal="center"/>
    </xf>
    <xf numFmtId="0" fontId="0" fillId="0" borderId="37" xfId="0" applyFont="1" applyBorder="1"/>
    <xf numFmtId="0" fontId="22" fillId="23" borderId="48" xfId="0" applyFont="1" applyFill="1" applyBorder="1" applyAlignment="1">
      <alignment horizontal="center" vertical="center" wrapText="1"/>
    </xf>
    <xf numFmtId="0" fontId="22" fillId="23" borderId="50" xfId="0" applyFont="1" applyFill="1" applyBorder="1" applyAlignment="1">
      <alignment horizontal="center" vertical="center" wrapText="1"/>
    </xf>
    <xf numFmtId="0" fontId="22" fillId="0" borderId="44" xfId="0" applyFont="1" applyBorder="1" applyAlignment="1">
      <alignment horizontal="center" vertical="center"/>
    </xf>
    <xf numFmtId="0" fontId="48" fillId="14" borderId="21" xfId="114" applyFont="1" applyAlignment="1">
      <alignment vertical="center"/>
    </xf>
    <xf numFmtId="0" fontId="0" fillId="0" borderId="28" xfId="0" applyFont="1" applyFill="1" applyBorder="1" applyAlignment="1">
      <alignment vertical="center"/>
    </xf>
    <xf numFmtId="3" fontId="0" fillId="0" borderId="28" xfId="0" applyNumberFormat="1" applyFont="1" applyFill="1" applyBorder="1" applyAlignment="1">
      <alignment vertical="center"/>
    </xf>
    <xf numFmtId="3" fontId="0" fillId="0" borderId="46" xfId="0" applyNumberFormat="1" applyFont="1" applyBorder="1" applyAlignment="1">
      <alignment vertical="center"/>
    </xf>
    <xf numFmtId="0" fontId="22" fillId="0" borderId="34" xfId="0" applyFont="1" applyBorder="1" applyAlignment="1">
      <alignment horizontal="center" vertical="center"/>
    </xf>
    <xf numFmtId="3" fontId="0" fillId="0" borderId="1" xfId="0" applyNumberFormat="1" applyFont="1" applyFill="1" applyBorder="1" applyAlignment="1">
      <alignment vertical="center"/>
    </xf>
    <xf numFmtId="3" fontId="0" fillId="0" borderId="37" xfId="0" applyNumberFormat="1" applyFont="1" applyBorder="1" applyAlignment="1">
      <alignment vertical="center"/>
    </xf>
    <xf numFmtId="168" fontId="0" fillId="0" borderId="1" xfId="8" applyNumberFormat="1" applyFont="1" applyBorder="1" applyAlignment="1">
      <alignment vertical="center"/>
    </xf>
    <xf numFmtId="168" fontId="0" fillId="0" borderId="1" xfId="8" applyNumberFormat="1" applyFont="1" applyFill="1" applyBorder="1" applyAlignment="1">
      <alignment vertical="center"/>
    </xf>
    <xf numFmtId="168" fontId="0" fillId="0" borderId="37" xfId="8" applyNumberFormat="1" applyFont="1" applyBorder="1" applyAlignment="1">
      <alignment vertical="center"/>
    </xf>
    <xf numFmtId="0" fontId="22" fillId="0" borderId="38" xfId="0" applyFont="1" applyBorder="1" applyAlignment="1">
      <alignment horizontal="center" vertical="center" wrapText="1"/>
    </xf>
    <xf numFmtId="166" fontId="22" fillId="0" borderId="43" xfId="1" applyNumberFormat="1" applyFont="1" applyBorder="1" applyAlignment="1">
      <alignment vertical="center"/>
    </xf>
    <xf numFmtId="166" fontId="49" fillId="31" borderId="43" xfId="116" applyNumberFormat="1" applyFont="1" applyBorder="1" applyAlignment="1">
      <alignment vertical="center"/>
    </xf>
    <xf numFmtId="166" fontId="22" fillId="0" borderId="43" xfId="1" applyNumberFormat="1" applyFont="1" applyFill="1" applyBorder="1" applyAlignment="1">
      <alignment vertical="center"/>
    </xf>
    <xf numFmtId="166" fontId="22" fillId="0" borderId="40" xfId="1" applyNumberFormat="1" applyFont="1" applyFill="1" applyBorder="1" applyAlignment="1">
      <alignment vertical="center"/>
    </xf>
    <xf numFmtId="0" fontId="22" fillId="7" borderId="1" xfId="0" applyFont="1" applyFill="1" applyBorder="1" applyAlignment="1">
      <alignment horizontal="center" vertical="center" wrapText="1"/>
    </xf>
    <xf numFmtId="0" fontId="0" fillId="0" borderId="44" xfId="0" applyFont="1" applyFill="1" applyBorder="1" applyAlignment="1">
      <alignment vertical="center" wrapText="1"/>
    </xf>
    <xf numFmtId="167" fontId="0" fillId="0" borderId="28" xfId="0" applyNumberFormat="1" applyFont="1" applyFill="1" applyBorder="1" applyAlignment="1">
      <alignment vertical="center" wrapText="1"/>
    </xf>
    <xf numFmtId="0" fontId="0" fillId="0" borderId="38" xfId="0" applyFont="1" applyFill="1" applyBorder="1" applyAlignment="1">
      <alignment vertical="center" wrapText="1"/>
    </xf>
    <xf numFmtId="6" fontId="0" fillId="0" borderId="1" xfId="0" applyNumberFormat="1" applyFont="1" applyFill="1" applyBorder="1" applyAlignment="1">
      <alignment horizontal="center" vertical="center" wrapText="1"/>
    </xf>
    <xf numFmtId="6" fontId="0" fillId="0" borderId="1" xfId="0" applyNumberFormat="1" applyFont="1" applyBorder="1" applyAlignment="1">
      <alignment horizontal="center" vertical="center"/>
    </xf>
    <xf numFmtId="3" fontId="0" fillId="0" borderId="0" xfId="0" applyNumberFormat="1" applyFont="1" applyFill="1" applyAlignment="1">
      <alignment vertical="center"/>
    </xf>
    <xf numFmtId="0" fontId="52" fillId="0" borderId="0" xfId="0" applyFont="1" applyFill="1" applyAlignment="1">
      <alignment vertical="center"/>
    </xf>
    <xf numFmtId="3" fontId="0" fillId="0" borderId="0" xfId="0" applyNumberFormat="1" applyFont="1" applyAlignment="1">
      <alignment vertical="center" wrapText="1"/>
    </xf>
    <xf numFmtId="0" fontId="44" fillId="0" borderId="0" xfId="0" applyFont="1" applyFill="1" applyAlignment="1">
      <alignment vertical="center"/>
    </xf>
    <xf numFmtId="0" fontId="44" fillId="0" borderId="0" xfId="0" applyFont="1" applyFill="1" applyAlignment="1">
      <alignment horizontal="center" vertical="center"/>
    </xf>
    <xf numFmtId="3" fontId="48" fillId="14" borderId="21" xfId="114" applyNumberFormat="1" applyFont="1"/>
    <xf numFmtId="3" fontId="0" fillId="0" borderId="0" xfId="0" applyNumberFormat="1" applyFont="1" applyFill="1" applyBorder="1"/>
    <xf numFmtId="9" fontId="44" fillId="0" borderId="0" xfId="0" applyNumberFormat="1" applyFont="1" applyFill="1" applyAlignment="1">
      <alignment horizontal="center" vertical="center"/>
    </xf>
    <xf numFmtId="3" fontId="44" fillId="0" borderId="0" xfId="0" applyNumberFormat="1" applyFont="1" applyFill="1" applyAlignment="1">
      <alignment horizontal="center" vertical="center"/>
    </xf>
    <xf numFmtId="3" fontId="0" fillId="0" borderId="1" xfId="0" applyNumberFormat="1" applyFont="1" applyBorder="1" applyAlignment="1">
      <alignment horizontal="center"/>
    </xf>
    <xf numFmtId="3" fontId="0" fillId="0" borderId="0" xfId="0" applyNumberFormat="1" applyFont="1" applyFill="1" applyBorder="1" applyAlignment="1">
      <alignment horizontal="center"/>
    </xf>
    <xf numFmtId="0" fontId="0" fillId="0" borderId="0" xfId="0" applyFont="1" applyFill="1" applyBorder="1" applyAlignment="1">
      <alignment horizontal="left" vertical="center" wrapText="1"/>
    </xf>
    <xf numFmtId="166" fontId="0" fillId="0" borderId="0" xfId="8" applyNumberFormat="1" applyFont="1" applyFill="1" applyBorder="1" applyAlignment="1">
      <alignment horizontal="center" vertical="center" wrapText="1"/>
    </xf>
    <xf numFmtId="0" fontId="48" fillId="14" borderId="1" xfId="114" applyFont="1" applyBorder="1" applyAlignment="1">
      <alignment horizontal="center" vertical="center"/>
    </xf>
    <xf numFmtId="0" fontId="22" fillId="0" borderId="1" xfId="0" applyFont="1" applyFill="1" applyBorder="1" applyAlignment="1">
      <alignment horizontal="center" vertical="center" wrapText="1"/>
    </xf>
    <xf numFmtId="3" fontId="22" fillId="0" borderId="1" xfId="0" applyNumberFormat="1" applyFont="1" applyFill="1" applyBorder="1" applyAlignment="1">
      <alignment horizontal="center" vertical="center"/>
    </xf>
    <xf numFmtId="166" fontId="0" fillId="0" borderId="1" xfId="1" applyNumberFormat="1" applyFont="1" applyBorder="1" applyAlignment="1">
      <alignment horizontal="center" vertical="center"/>
    </xf>
    <xf numFmtId="166" fontId="0" fillId="0" borderId="1" xfId="0" applyNumberFormat="1" applyFont="1" applyBorder="1" applyAlignment="1">
      <alignment vertical="center"/>
    </xf>
    <xf numFmtId="3" fontId="0" fillId="0" borderId="1" xfId="0" applyNumberFormat="1" applyFont="1" applyBorder="1" applyAlignment="1">
      <alignment horizontal="center" vertical="center"/>
    </xf>
    <xf numFmtId="166" fontId="0" fillId="0" borderId="0" xfId="0" applyNumberFormat="1" applyFont="1" applyFill="1" applyBorder="1" applyAlignment="1">
      <alignment vertical="center"/>
    </xf>
    <xf numFmtId="166" fontId="0" fillId="0" borderId="0" xfId="0" applyNumberFormat="1" applyFont="1" applyFill="1" applyAlignment="1">
      <alignment vertical="center"/>
    </xf>
    <xf numFmtId="167" fontId="0" fillId="0" borderId="1" xfId="1" applyNumberFormat="1" applyFont="1" applyFill="1" applyBorder="1" applyAlignment="1">
      <alignment vertical="center" wrapText="1"/>
    </xf>
    <xf numFmtId="0" fontId="53" fillId="0" borderId="0" xfId="0" applyFont="1" applyAlignment="1">
      <alignment vertical="center"/>
    </xf>
    <xf numFmtId="0" fontId="20" fillId="0" borderId="0" xfId="0" applyFont="1" applyFill="1" applyAlignment="1">
      <alignment vertical="center"/>
    </xf>
    <xf numFmtId="0" fontId="20" fillId="0" borderId="0" xfId="0" applyFont="1" applyFill="1" applyBorder="1" applyAlignment="1">
      <alignment vertical="center"/>
    </xf>
    <xf numFmtId="0" fontId="20" fillId="0" borderId="0" xfId="0" applyFont="1" applyAlignment="1">
      <alignment horizontal="center" vertical="center"/>
    </xf>
    <xf numFmtId="0" fontId="20" fillId="0" borderId="0" xfId="0" applyFont="1" applyBorder="1" applyAlignment="1">
      <alignment horizontal="center" vertical="center"/>
    </xf>
    <xf numFmtId="0" fontId="20" fillId="0" borderId="0" xfId="0" applyFont="1" applyFill="1" applyBorder="1" applyAlignment="1">
      <alignment horizontal="center" vertical="center" wrapText="1"/>
    </xf>
    <xf numFmtId="166" fontId="20" fillId="0" borderId="0" xfId="1" applyNumberFormat="1" applyFont="1" applyFill="1" applyBorder="1" applyAlignment="1">
      <alignment horizontal="center" vertical="center"/>
    </xf>
    <xf numFmtId="166" fontId="20" fillId="0" borderId="1" xfId="1" applyNumberFormat="1" applyFont="1" applyFill="1" applyBorder="1" applyAlignment="1">
      <alignment horizontal="center" vertical="center"/>
    </xf>
    <xf numFmtId="172" fontId="45" fillId="0" borderId="0" xfId="0" applyNumberFormat="1" applyFont="1" applyFill="1" applyBorder="1" applyAlignment="1">
      <alignment horizontal="center" vertical="center"/>
    </xf>
    <xf numFmtId="0" fontId="45" fillId="0" borderId="1" xfId="0" applyFont="1" applyFill="1" applyBorder="1" applyAlignment="1">
      <alignment vertical="center"/>
    </xf>
    <xf numFmtId="0" fontId="54" fillId="0" borderId="1" xfId="0" applyFont="1" applyBorder="1" applyAlignment="1">
      <alignment horizontal="center" vertical="center"/>
    </xf>
    <xf numFmtId="172" fontId="20" fillId="0" borderId="0" xfId="0" applyNumberFormat="1" applyFont="1" applyFill="1" applyBorder="1" applyAlignment="1">
      <alignment horizontal="center" vertical="center"/>
    </xf>
    <xf numFmtId="0" fontId="45" fillId="0" borderId="0" xfId="0" applyFont="1" applyFill="1" applyAlignment="1">
      <alignment vertical="center"/>
    </xf>
    <xf numFmtId="0" fontId="20" fillId="22" borderId="1" xfId="0" applyFont="1" applyFill="1" applyBorder="1" applyAlignment="1">
      <alignment vertical="center"/>
    </xf>
    <xf numFmtId="0" fontId="55" fillId="0" borderId="1" xfId="0" applyFont="1" applyBorder="1" applyAlignment="1">
      <alignment horizontal="center" vertical="center"/>
    </xf>
    <xf numFmtId="0" fontId="45" fillId="0" borderId="0" xfId="0" applyFont="1" applyFill="1" applyBorder="1" applyAlignment="1">
      <alignment vertical="center" wrapText="1"/>
    </xf>
    <xf numFmtId="0" fontId="17" fillId="0" borderId="0" xfId="0" applyFont="1"/>
    <xf numFmtId="0" fontId="20" fillId="0" borderId="0" xfId="0" applyFont="1" applyAlignment="1">
      <alignment vertical="center"/>
    </xf>
    <xf numFmtId="0" fontId="20" fillId="23" borderId="1" xfId="0" applyFont="1" applyFill="1" applyBorder="1" applyAlignment="1">
      <alignment horizontal="center" vertical="center"/>
    </xf>
    <xf numFmtId="0" fontId="56" fillId="0" borderId="0" xfId="0" applyFont="1" applyFill="1" applyBorder="1" applyAlignment="1">
      <alignment horizontal="center" vertical="center" wrapText="1"/>
    </xf>
    <xf numFmtId="0" fontId="45" fillId="0" borderId="1" xfId="0" applyFont="1" applyBorder="1" applyAlignment="1">
      <alignment vertical="center"/>
    </xf>
    <xf numFmtId="184" fontId="45" fillId="0" borderId="1" xfId="0" applyNumberFormat="1" applyFont="1" applyBorder="1" applyAlignment="1">
      <alignment horizontal="center" vertical="center"/>
    </xf>
    <xf numFmtId="10" fontId="45" fillId="0" borderId="0" xfId="8" applyNumberFormat="1" applyFont="1" applyBorder="1" applyAlignment="1">
      <alignment horizontal="center" vertical="center"/>
    </xf>
    <xf numFmtId="168" fontId="45" fillId="0" borderId="0" xfId="8" applyNumberFormat="1" applyFont="1" applyFill="1" applyBorder="1" applyAlignment="1">
      <alignment horizontal="center" vertical="center"/>
    </xf>
    <xf numFmtId="168" fontId="45" fillId="0" borderId="0" xfId="0" applyNumberFormat="1" applyFont="1" applyFill="1" applyBorder="1" applyAlignment="1">
      <alignment horizontal="center" vertical="center"/>
    </xf>
    <xf numFmtId="0" fontId="45" fillId="0" borderId="1" xfId="0" applyFont="1" applyBorder="1" applyAlignment="1">
      <alignment vertical="center" wrapText="1"/>
    </xf>
    <xf numFmtId="0" fontId="45" fillId="0" borderId="1" xfId="0" applyFont="1" applyFill="1" applyBorder="1" applyAlignment="1">
      <alignment vertical="center" wrapText="1"/>
    </xf>
    <xf numFmtId="0" fontId="20" fillId="0" borderId="1" xfId="0" applyFont="1" applyFill="1" applyBorder="1" applyAlignment="1">
      <alignment horizontal="right" vertical="center"/>
    </xf>
    <xf numFmtId="168" fontId="20" fillId="0" borderId="0" xfId="0" applyNumberFormat="1" applyFont="1" applyFill="1" applyBorder="1" applyAlignment="1">
      <alignment horizontal="center" vertical="center"/>
    </xf>
    <xf numFmtId="0" fontId="45" fillId="0" borderId="0" xfId="0" applyFont="1" applyAlignment="1">
      <alignment vertical="center" wrapText="1"/>
    </xf>
    <xf numFmtId="3" fontId="45" fillId="0" borderId="0" xfId="0" applyNumberFormat="1" applyFont="1" applyAlignment="1">
      <alignment horizontal="center" vertical="center" wrapText="1"/>
    </xf>
    <xf numFmtId="0" fontId="45" fillId="0" borderId="0" xfId="0" applyFont="1" applyAlignment="1">
      <alignment horizontal="center" vertical="center" wrapText="1"/>
    </xf>
    <xf numFmtId="0" fontId="45" fillId="0" borderId="1" xfId="0" applyFont="1" applyFill="1" applyBorder="1" applyAlignment="1">
      <alignment horizontal="left" vertical="center" wrapText="1"/>
    </xf>
    <xf numFmtId="0" fontId="38" fillId="0" borderId="0" xfId="111"/>
    <xf numFmtId="188" fontId="9" fillId="9" borderId="0" xfId="0" applyNumberFormat="1" applyFont="1" applyFill="1" applyBorder="1" applyAlignment="1">
      <alignment vertical="top"/>
    </xf>
    <xf numFmtId="188" fontId="9" fillId="9" borderId="0" xfId="1" applyNumberFormat="1" applyFont="1" applyFill="1" applyBorder="1" applyAlignment="1">
      <alignment vertical="top"/>
    </xf>
    <xf numFmtId="184" fontId="20" fillId="0" borderId="1" xfId="0" applyNumberFormat="1" applyFont="1" applyFill="1" applyBorder="1" applyAlignment="1">
      <alignment horizontal="center" vertical="center"/>
    </xf>
    <xf numFmtId="0" fontId="19" fillId="2" borderId="0" xfId="5" applyFont="1" applyFill="1" applyBorder="1" applyAlignment="1">
      <alignment vertical="top" wrapText="1"/>
    </xf>
    <xf numFmtId="166" fontId="0" fillId="0" borderId="0" xfId="1" applyNumberFormat="1" applyFont="1" applyAlignment="1">
      <alignment vertical="center" wrapText="1"/>
    </xf>
    <xf numFmtId="0" fontId="9" fillId="24" borderId="17" xfId="0" applyFont="1" applyFill="1" applyBorder="1" applyAlignment="1">
      <alignment horizontal="center" vertical="center"/>
    </xf>
    <xf numFmtId="0" fontId="9" fillId="24" borderId="19" xfId="0" applyFont="1" applyFill="1" applyBorder="1"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7" fillId="19" borderId="0" xfId="0" applyFont="1" applyFill="1" applyAlignment="1">
      <alignment vertical="center"/>
    </xf>
    <xf numFmtId="0" fontId="9" fillId="24" borderId="7" xfId="0" applyFont="1" applyFill="1" applyBorder="1" applyAlignment="1">
      <alignment horizontal="center" vertical="center"/>
    </xf>
    <xf numFmtId="0" fontId="9" fillId="24" borderId="8" xfId="0" applyFont="1" applyFill="1" applyBorder="1" applyAlignment="1">
      <alignment horizontal="center" vertical="center"/>
    </xf>
    <xf numFmtId="0" fontId="9" fillId="24" borderId="6" xfId="0" applyFont="1" applyFill="1" applyBorder="1" applyAlignment="1">
      <alignment horizontal="center" vertical="center"/>
    </xf>
    <xf numFmtId="0" fontId="9" fillId="19" borderId="1" xfId="0" applyFont="1" applyFill="1" applyBorder="1" applyAlignment="1">
      <alignment horizontal="center" vertical="center"/>
    </xf>
    <xf numFmtId="0" fontId="9" fillId="19" borderId="1" xfId="0" applyFont="1" applyFill="1" applyBorder="1" applyAlignment="1">
      <alignment vertical="center"/>
    </xf>
    <xf numFmtId="3" fontId="48" fillId="14" borderId="21" xfId="114" applyNumberFormat="1" applyFont="1" applyAlignment="1">
      <alignment vertical="center"/>
    </xf>
    <xf numFmtId="0" fontId="22" fillId="0" borderId="1" xfId="0" applyFont="1" applyBorder="1" applyAlignment="1">
      <alignment horizontal="center" wrapText="1"/>
    </xf>
    <xf numFmtId="0" fontId="14" fillId="19" borderId="0" xfId="5" applyFont="1" applyFill="1" applyBorder="1" applyAlignment="1">
      <alignment vertical="top" wrapText="1"/>
    </xf>
    <xf numFmtId="2" fontId="9" fillId="6" borderId="14" xfId="0" applyNumberFormat="1" applyFont="1" applyFill="1" applyBorder="1" applyAlignment="1">
      <alignment vertical="top"/>
    </xf>
    <xf numFmtId="170" fontId="0" fillId="0" borderId="1" xfId="0" applyNumberFormat="1" applyFont="1" applyBorder="1"/>
    <xf numFmtId="170" fontId="22" fillId="0" borderId="1" xfId="0" applyNumberFormat="1" applyFont="1" applyBorder="1"/>
    <xf numFmtId="0" fontId="22" fillId="0" borderId="1" xfId="0" applyFont="1" applyFill="1" applyBorder="1" applyAlignment="1">
      <alignment horizontal="center"/>
    </xf>
    <xf numFmtId="3" fontId="0" fillId="0" borderId="0" xfId="0" applyNumberFormat="1" applyAlignment="1">
      <alignment vertical="center" wrapText="1"/>
    </xf>
    <xf numFmtId="177" fontId="24" fillId="0" borderId="0" xfId="3" applyNumberFormat="1" applyFont="1" applyFill="1" applyAlignment="1">
      <alignment horizontal="right"/>
    </xf>
    <xf numFmtId="177" fontId="24" fillId="15" borderId="0" xfId="3" applyNumberFormat="1" applyFont="1" applyFill="1" applyAlignment="1">
      <alignment horizontal="right"/>
    </xf>
    <xf numFmtId="178" fontId="24" fillId="0" borderId="0" xfId="3" applyNumberFormat="1" applyFont="1" applyFill="1" applyAlignment="1">
      <alignment horizontal="right"/>
    </xf>
    <xf numFmtId="178" fontId="24" fillId="15" borderId="0" xfId="3" applyNumberFormat="1" applyFont="1" applyFill="1" applyAlignment="1">
      <alignment horizontal="right"/>
    </xf>
    <xf numFmtId="0" fontId="15" fillId="0" borderId="0" xfId="3" applyFont="1" applyFill="1" applyAlignment="1">
      <alignment horizontal="left" vertical="top" wrapText="1"/>
    </xf>
    <xf numFmtId="17" fontId="0" fillId="19" borderId="0" xfId="0" applyNumberFormat="1" applyFill="1"/>
    <xf numFmtId="166" fontId="0" fillId="19" borderId="0" xfId="0" applyNumberFormat="1" applyFont="1" applyFill="1" applyAlignment="1">
      <alignment vertical="top"/>
    </xf>
    <xf numFmtId="0" fontId="2" fillId="0" borderId="0" xfId="77" applyFont="1"/>
    <xf numFmtId="0" fontId="60" fillId="0" borderId="0" xfId="77" applyFont="1"/>
    <xf numFmtId="0" fontId="19" fillId="0" borderId="73" xfId="77" applyFont="1" applyFill="1" applyBorder="1" applyAlignment="1">
      <alignment horizontal="left" vertical="center"/>
    </xf>
    <xf numFmtId="0" fontId="2" fillId="0" borderId="74" xfId="77" applyFont="1" applyFill="1" applyBorder="1" applyAlignment="1">
      <alignment horizontal="left" vertical="center"/>
    </xf>
    <xf numFmtId="0" fontId="61" fillId="0" borderId="75" xfId="77" applyFont="1" applyFill="1" applyBorder="1" applyAlignment="1">
      <alignment vertical="center"/>
    </xf>
    <xf numFmtId="0" fontId="61" fillId="0" borderId="0" xfId="77" applyFont="1" applyFill="1" applyBorder="1" applyAlignment="1">
      <alignment vertical="center"/>
    </xf>
    <xf numFmtId="0" fontId="61" fillId="0" borderId="74" xfId="77" applyFont="1" applyFill="1" applyBorder="1" applyAlignment="1">
      <alignment vertical="center"/>
    </xf>
    <xf numFmtId="0" fontId="19" fillId="0" borderId="77" xfId="77" applyFont="1" applyFill="1" applyBorder="1" applyAlignment="1">
      <alignment horizontal="left" vertical="center"/>
    </xf>
    <xf numFmtId="0" fontId="63" fillId="0" borderId="0" xfId="77" applyFont="1" applyFill="1" applyBorder="1" applyAlignment="1">
      <alignment horizontal="centerContinuous"/>
    </xf>
    <xf numFmtId="0" fontId="2" fillId="0" borderId="0" xfId="77" applyFont="1" applyAlignment="1">
      <alignment horizontal="centerContinuous"/>
    </xf>
    <xf numFmtId="0" fontId="2" fillId="0" borderId="78" xfId="77" applyFont="1" applyBorder="1" applyAlignment="1">
      <alignment vertical="center"/>
    </xf>
    <xf numFmtId="0" fontId="2" fillId="0" borderId="0" xfId="77" applyFont="1" applyBorder="1" applyAlignment="1">
      <alignment vertical="center"/>
    </xf>
    <xf numFmtId="0" fontId="2" fillId="0" borderId="77" xfId="77" applyFont="1" applyBorder="1" applyAlignment="1">
      <alignment vertical="center"/>
    </xf>
    <xf numFmtId="0" fontId="64" fillId="0" borderId="0" xfId="77" applyFont="1" applyFill="1" applyBorder="1" applyAlignment="1">
      <alignment horizontal="centerContinuous"/>
    </xf>
    <xf numFmtId="0" fontId="2" fillId="0" borderId="77" xfId="77" applyFont="1" applyFill="1" applyBorder="1" applyAlignment="1">
      <alignment vertical="center"/>
    </xf>
    <xf numFmtId="0" fontId="2" fillId="0" borderId="0" xfId="77" applyFont="1" applyAlignment="1">
      <alignment vertical="center"/>
    </xf>
    <xf numFmtId="7" fontId="2" fillId="0" borderId="78" xfId="77" applyNumberFormat="1" applyFont="1" applyFill="1" applyBorder="1" applyAlignment="1" applyProtection="1">
      <alignment horizontal="right" vertical="center"/>
    </xf>
    <xf numFmtId="7" fontId="2" fillId="0" borderId="0" xfId="77" applyNumberFormat="1" applyFont="1" applyFill="1" applyBorder="1" applyAlignment="1" applyProtection="1">
      <alignment horizontal="right" vertical="center"/>
    </xf>
    <xf numFmtId="0" fontId="14" fillId="33" borderId="1" xfId="77" applyFont="1" applyFill="1" applyBorder="1" applyAlignment="1">
      <alignment horizontal="center" vertical="center"/>
    </xf>
    <xf numFmtId="0" fontId="14" fillId="33" borderId="79" xfId="77" applyFont="1" applyFill="1" applyBorder="1" applyAlignment="1">
      <alignment horizontal="center" vertical="center"/>
    </xf>
    <xf numFmtId="0" fontId="14" fillId="33" borderId="22" xfId="77" applyFont="1" applyFill="1" applyBorder="1" applyAlignment="1">
      <alignment horizontal="center" vertical="center"/>
    </xf>
    <xf numFmtId="7" fontId="2" fillId="0" borderId="78" xfId="77" applyNumberFormat="1" applyFont="1" applyFill="1" applyBorder="1" applyAlignment="1">
      <alignment horizontal="right" vertical="center"/>
    </xf>
    <xf numFmtId="7" fontId="2" fillId="0" borderId="0" xfId="77" applyNumberFormat="1" applyFont="1" applyFill="1" applyBorder="1" applyAlignment="1">
      <alignment horizontal="right" vertical="center"/>
    </xf>
    <xf numFmtId="0" fontId="61" fillId="0" borderId="80" xfId="77" quotePrefix="1" applyFont="1" applyFill="1" applyBorder="1" applyAlignment="1">
      <alignment horizontal="center" vertical="center"/>
    </xf>
    <xf numFmtId="180" fontId="2" fillId="0" borderId="76" xfId="80" applyNumberFormat="1" applyFont="1" applyFill="1" applyBorder="1" applyAlignment="1">
      <alignment horizontal="center" vertical="center"/>
    </xf>
    <xf numFmtId="180" fontId="2" fillId="0" borderId="81" xfId="80" applyNumberFormat="1" applyFont="1" applyFill="1" applyBorder="1" applyAlignment="1">
      <alignment horizontal="center" vertical="center"/>
    </xf>
    <xf numFmtId="0" fontId="2" fillId="0" borderId="78" xfId="77" applyFont="1" applyFill="1" applyBorder="1" applyAlignment="1">
      <alignment vertical="center"/>
    </xf>
    <xf numFmtId="0" fontId="2" fillId="0" borderId="0" xfId="77" applyFont="1" applyFill="1" applyBorder="1" applyAlignment="1">
      <alignment vertical="center"/>
    </xf>
    <xf numFmtId="0" fontId="62" fillId="0" borderId="0" xfId="77" applyFont="1"/>
    <xf numFmtId="0" fontId="2" fillId="0" borderId="78" xfId="77" quotePrefix="1" applyFont="1" applyFill="1" applyBorder="1" applyAlignment="1">
      <alignment horizontal="center" vertical="center"/>
    </xf>
    <xf numFmtId="0" fontId="2" fillId="0" borderId="0" xfId="77" quotePrefix="1" applyFont="1" applyFill="1" applyBorder="1" applyAlignment="1">
      <alignment horizontal="center" vertical="center"/>
    </xf>
    <xf numFmtId="180" fontId="2" fillId="0" borderId="87" xfId="80" applyNumberFormat="1" applyFont="1" applyFill="1" applyBorder="1" applyAlignment="1">
      <alignment horizontal="center" vertical="center"/>
    </xf>
    <xf numFmtId="180" fontId="2" fillId="0" borderId="88" xfId="80" applyNumberFormat="1" applyFont="1" applyFill="1" applyBorder="1" applyAlignment="1">
      <alignment horizontal="center" vertical="center"/>
    </xf>
    <xf numFmtId="0" fontId="61" fillId="0" borderId="28" xfId="77" quotePrefix="1" applyFont="1" applyFill="1" applyBorder="1" applyAlignment="1">
      <alignment horizontal="center" vertical="center"/>
    </xf>
    <xf numFmtId="180" fontId="2" fillId="0" borderId="82" xfId="80" applyNumberFormat="1" applyFont="1" applyFill="1" applyBorder="1" applyAlignment="1">
      <alignment horizontal="center" vertical="center"/>
    </xf>
    <xf numFmtId="180" fontId="2" fillId="0" borderId="83" xfId="80" applyNumberFormat="1" applyFont="1" applyFill="1" applyBorder="1" applyAlignment="1">
      <alignment horizontal="center" vertical="center"/>
    </xf>
    <xf numFmtId="0" fontId="2" fillId="0" borderId="84" xfId="77" applyFont="1" applyFill="1" applyBorder="1" applyAlignment="1">
      <alignment vertical="center"/>
    </xf>
    <xf numFmtId="0" fontId="2" fillId="0" borderId="85" xfId="77" applyFont="1" applyFill="1" applyBorder="1" applyAlignment="1">
      <alignment vertical="center"/>
    </xf>
    <xf numFmtId="0" fontId="2" fillId="0" borderId="86" xfId="77" applyFont="1" applyFill="1" applyBorder="1" applyAlignment="1">
      <alignment vertical="center"/>
    </xf>
    <xf numFmtId="0" fontId="2" fillId="0" borderId="0" xfId="77" applyNumberFormat="1" applyFont="1"/>
    <xf numFmtId="0" fontId="0" fillId="0" borderId="28" xfId="0" applyFill="1" applyBorder="1"/>
    <xf numFmtId="0" fontId="0" fillId="23" borderId="27" xfId="0" applyFill="1" applyBorder="1" applyAlignment="1">
      <alignment horizontal="center"/>
    </xf>
    <xf numFmtId="0" fontId="0" fillId="23" borderId="30" xfId="0" applyFill="1" applyBorder="1" applyAlignment="1">
      <alignment horizontal="center"/>
    </xf>
    <xf numFmtId="0" fontId="0" fillId="23" borderId="25" xfId="0" applyFill="1" applyBorder="1" applyAlignment="1">
      <alignment horizontal="center"/>
    </xf>
    <xf numFmtId="0" fontId="0" fillId="23" borderId="4" xfId="0" applyFill="1" applyBorder="1" applyAlignment="1">
      <alignment horizontal="center"/>
    </xf>
    <xf numFmtId="0" fontId="0" fillId="23" borderId="28" xfId="0" applyFill="1" applyBorder="1" applyAlignment="1">
      <alignment horizontal="center"/>
    </xf>
    <xf numFmtId="0" fontId="0" fillId="23" borderId="5" xfId="0" applyFill="1" applyBorder="1" applyAlignment="1">
      <alignment horizontal="center" vertical="center"/>
    </xf>
    <xf numFmtId="0" fontId="45" fillId="0" borderId="0" xfId="0" applyFont="1" applyBorder="1" applyAlignment="1">
      <alignment horizontal="center" vertical="center" wrapText="1"/>
    </xf>
    <xf numFmtId="0" fontId="0" fillId="0" borderId="0" xfId="0" applyBorder="1" applyAlignment="1">
      <alignment horizontal="center" vertical="center" wrapText="1"/>
    </xf>
    <xf numFmtId="184" fontId="0" fillId="0" borderId="1" xfId="0" applyNumberFormat="1" applyFill="1" applyBorder="1" applyAlignment="1">
      <alignment vertical="center"/>
    </xf>
    <xf numFmtId="184" fontId="0" fillId="0" borderId="28" xfId="0" applyNumberFormat="1" applyFill="1" applyBorder="1" applyAlignment="1">
      <alignment vertical="center"/>
    </xf>
    <xf numFmtId="190" fontId="0" fillId="0" borderId="28" xfId="0" applyNumberFormat="1" applyFill="1" applyBorder="1"/>
    <xf numFmtId="0" fontId="15" fillId="0" borderId="0" xfId="3" applyFont="1" applyFill="1" applyAlignment="1">
      <alignment horizontal="left" vertical="top" wrapText="1"/>
    </xf>
    <xf numFmtId="7" fontId="9" fillId="9" borderId="0" xfId="1" applyNumberFormat="1" applyFont="1" applyFill="1" applyBorder="1" applyAlignment="1">
      <alignment vertical="top"/>
    </xf>
    <xf numFmtId="7" fontId="9" fillId="6" borderId="0" xfId="1" applyNumberFormat="1" applyFont="1" applyFill="1" applyBorder="1" applyAlignment="1">
      <alignment vertical="top"/>
    </xf>
    <xf numFmtId="4" fontId="0" fillId="0" borderId="0" xfId="1" applyNumberFormat="1" applyFont="1" applyAlignment="1">
      <alignment vertical="center" wrapText="1"/>
    </xf>
    <xf numFmtId="190" fontId="0" fillId="0" borderId="1" xfId="0" applyNumberFormat="1" applyFill="1" applyBorder="1"/>
    <xf numFmtId="0" fontId="0" fillId="0" borderId="63" xfId="0" applyFont="1" applyFill="1" applyBorder="1" applyAlignment="1">
      <alignment vertical="center"/>
    </xf>
    <xf numFmtId="0" fontId="0" fillId="0" borderId="64" xfId="0" applyFont="1" applyFill="1" applyBorder="1" applyAlignment="1">
      <alignment vertical="center"/>
    </xf>
    <xf numFmtId="0" fontId="0" fillId="0" borderId="35" xfId="0" applyFont="1" applyFill="1" applyBorder="1" applyAlignment="1">
      <alignment vertical="center"/>
    </xf>
    <xf numFmtId="0" fontId="0" fillId="0" borderId="37" xfId="0" applyFont="1" applyFill="1" applyBorder="1" applyAlignment="1">
      <alignment vertical="center"/>
    </xf>
    <xf numFmtId="0" fontId="0" fillId="0" borderId="39" xfId="0" applyFont="1" applyFill="1" applyBorder="1" applyAlignment="1">
      <alignment vertical="center"/>
    </xf>
    <xf numFmtId="0" fontId="0" fillId="0" borderId="43" xfId="0" applyFont="1" applyFill="1" applyBorder="1" applyAlignment="1">
      <alignment vertical="center"/>
    </xf>
    <xf numFmtId="0" fontId="0" fillId="0" borderId="40" xfId="0" applyFont="1" applyFill="1" applyBorder="1" applyAlignment="1">
      <alignment vertical="center"/>
    </xf>
    <xf numFmtId="166" fontId="0" fillId="0" borderId="1" xfId="1" applyNumberFormat="1" applyFont="1" applyBorder="1" applyAlignment="1">
      <alignment vertical="center"/>
    </xf>
    <xf numFmtId="166" fontId="0" fillId="0" borderId="43" xfId="1" applyNumberFormat="1" applyFont="1" applyBorder="1" applyAlignment="1">
      <alignment vertical="center"/>
    </xf>
    <xf numFmtId="0" fontId="0" fillId="0" borderId="63" xfId="0" applyFont="1" applyBorder="1" applyAlignment="1">
      <alignment vertical="center"/>
    </xf>
    <xf numFmtId="166" fontId="0" fillId="0" borderId="43" xfId="0" applyNumberFormat="1" applyFont="1" applyBorder="1" applyAlignment="1">
      <alignment vertical="center"/>
    </xf>
    <xf numFmtId="0" fontId="0" fillId="0" borderId="62" xfId="0" applyFont="1" applyBorder="1" applyAlignment="1">
      <alignment vertical="center"/>
    </xf>
    <xf numFmtId="169" fontId="0" fillId="0" borderId="1" xfId="0" applyNumberFormat="1" applyFont="1" applyBorder="1" applyAlignment="1">
      <alignment vertical="center"/>
    </xf>
    <xf numFmtId="169" fontId="0" fillId="0" borderId="37" xfId="0" applyNumberFormat="1" applyFont="1" applyBorder="1" applyAlignment="1">
      <alignment vertical="center"/>
    </xf>
    <xf numFmtId="169" fontId="0" fillId="0" borderId="43" xfId="0" applyNumberFormat="1" applyFont="1" applyBorder="1" applyAlignment="1">
      <alignment vertical="center"/>
    </xf>
    <xf numFmtId="169" fontId="0" fillId="0" borderId="40" xfId="0" applyNumberFormat="1" applyFont="1" applyBorder="1" applyAlignment="1">
      <alignment vertical="center"/>
    </xf>
    <xf numFmtId="9" fontId="5" fillId="0" borderId="0" xfId="8" applyFont="1" applyFill="1" applyBorder="1" applyAlignment="1">
      <alignment vertical="center"/>
    </xf>
    <xf numFmtId="0" fontId="0" fillId="0" borderId="45" xfId="0" applyFont="1" applyBorder="1" applyAlignment="1">
      <alignment vertical="center"/>
    </xf>
    <xf numFmtId="0" fontId="0" fillId="0" borderId="46" xfId="0" applyFont="1" applyFill="1" applyBorder="1" applyAlignment="1">
      <alignment vertical="center"/>
    </xf>
    <xf numFmtId="0" fontId="5" fillId="0" borderId="1" xfId="0" applyFont="1" applyBorder="1" applyAlignment="1">
      <alignment vertical="top"/>
    </xf>
    <xf numFmtId="191" fontId="0" fillId="0" borderId="1" xfId="0" applyNumberFormat="1" applyFont="1" applyBorder="1"/>
    <xf numFmtId="0" fontId="8" fillId="11" borderId="17" xfId="0" applyFont="1" applyFill="1" applyBorder="1" applyAlignment="1">
      <alignment horizontal="left" vertical="top"/>
    </xf>
    <xf numFmtId="0" fontId="9" fillId="11" borderId="18" xfId="0" applyFont="1" applyFill="1" applyBorder="1" applyAlignment="1">
      <alignment horizontal="left" vertical="top"/>
    </xf>
    <xf numFmtId="0" fontId="16" fillId="11" borderId="19" xfId="0" applyFont="1" applyFill="1" applyBorder="1" applyAlignment="1">
      <alignment horizontal="center" vertical="top"/>
    </xf>
    <xf numFmtId="0" fontId="9" fillId="9" borderId="6" xfId="0" applyFont="1" applyFill="1" applyBorder="1" applyAlignment="1">
      <alignment vertical="top"/>
    </xf>
    <xf numFmtId="166" fontId="9" fillId="9" borderId="8" xfId="0" applyNumberFormat="1" applyFont="1" applyFill="1" applyBorder="1" applyAlignment="1">
      <alignment horizontal="center" vertical="top"/>
    </xf>
    <xf numFmtId="0" fontId="8" fillId="9" borderId="10" xfId="0" applyFont="1" applyFill="1" applyBorder="1" applyAlignment="1">
      <alignment vertical="top"/>
    </xf>
    <xf numFmtId="0" fontId="8" fillId="9" borderId="0" xfId="0" applyFont="1" applyFill="1" applyBorder="1" applyAlignment="1">
      <alignment vertical="top"/>
    </xf>
    <xf numFmtId="2" fontId="9" fillId="9" borderId="11" xfId="0" applyNumberFormat="1" applyFont="1" applyFill="1" applyBorder="1" applyAlignment="1">
      <alignment vertical="top"/>
    </xf>
    <xf numFmtId="0" fontId="9" fillId="9" borderId="13" xfId="0" applyFont="1" applyFill="1" applyBorder="1" applyAlignment="1">
      <alignment vertical="top"/>
    </xf>
    <xf numFmtId="0" fontId="9" fillId="9" borderId="14" xfId="0" applyFont="1" applyFill="1" applyBorder="1" applyAlignment="1">
      <alignment vertical="top"/>
    </xf>
    <xf numFmtId="0" fontId="9" fillId="9" borderId="15" xfId="0" applyFont="1" applyFill="1" applyBorder="1" applyAlignment="1">
      <alignment horizontal="center" vertical="top"/>
    </xf>
    <xf numFmtId="0" fontId="16" fillId="0" borderId="10" xfId="0" applyFont="1" applyBorder="1" applyAlignment="1">
      <alignment vertical="top"/>
    </xf>
    <xf numFmtId="0" fontId="16" fillId="0" borderId="0" xfId="0" applyFont="1" applyBorder="1" applyAlignment="1">
      <alignment vertical="top"/>
    </xf>
    <xf numFmtId="0" fontId="9" fillId="0" borderId="11" xfId="0" applyFont="1" applyBorder="1" applyAlignment="1">
      <alignment vertical="top"/>
    </xf>
    <xf numFmtId="0" fontId="8" fillId="11" borderId="17" xfId="0" applyFont="1" applyFill="1" applyBorder="1" applyAlignment="1">
      <alignment vertical="top"/>
    </xf>
    <xf numFmtId="0" fontId="9" fillId="11" borderId="18" xfId="0" applyFont="1" applyFill="1" applyBorder="1" applyAlignment="1">
      <alignment vertical="top"/>
    </xf>
    <xf numFmtId="0" fontId="9" fillId="11" borderId="19" xfId="0" applyFont="1" applyFill="1" applyBorder="1" applyAlignment="1">
      <alignment vertical="top"/>
    </xf>
    <xf numFmtId="0" fontId="65" fillId="9" borderId="6" xfId="0" applyFont="1" applyFill="1" applyBorder="1" applyAlignment="1">
      <alignment vertical="top"/>
    </xf>
    <xf numFmtId="0" fontId="65" fillId="9" borderId="7" xfId="0" applyFont="1" applyFill="1" applyBorder="1" applyAlignment="1">
      <alignment vertical="top"/>
    </xf>
    <xf numFmtId="0" fontId="9" fillId="9" borderId="8" xfId="0" applyFont="1" applyFill="1" applyBorder="1" applyAlignment="1">
      <alignment vertical="top"/>
    </xf>
    <xf numFmtId="0" fontId="65" fillId="9" borderId="10" xfId="0" applyFont="1" applyFill="1" applyBorder="1" applyAlignment="1">
      <alignment vertical="top"/>
    </xf>
    <xf numFmtId="0" fontId="65" fillId="9" borderId="0" xfId="0" applyFont="1" applyFill="1" applyBorder="1" applyAlignment="1">
      <alignment vertical="top"/>
    </xf>
    <xf numFmtId="0" fontId="9" fillId="9" borderId="0" xfId="0" applyFont="1" applyFill="1" applyBorder="1" applyAlignment="1">
      <alignment vertical="top"/>
    </xf>
    <xf numFmtId="0" fontId="9" fillId="9" borderId="11" xfId="0" applyFont="1" applyFill="1" applyBorder="1" applyAlignment="1">
      <alignment vertical="top"/>
    </xf>
    <xf numFmtId="0" fontId="9" fillId="9" borderId="10" xfId="0" applyFont="1" applyFill="1" applyBorder="1" applyAlignment="1">
      <alignment horizontal="center" vertical="top"/>
    </xf>
    <xf numFmtId="166" fontId="9" fillId="9" borderId="0" xfId="1" applyNumberFormat="1" applyFont="1" applyFill="1" applyBorder="1" applyAlignment="1">
      <alignment horizontal="center" vertical="top"/>
    </xf>
    <xf numFmtId="166" fontId="9" fillId="9" borderId="11" xfId="1" applyNumberFormat="1" applyFont="1" applyFill="1" applyBorder="1" applyAlignment="1">
      <alignment horizontal="center" vertical="top"/>
    </xf>
    <xf numFmtId="0" fontId="9" fillId="9" borderId="10" xfId="0" applyFont="1" applyFill="1" applyBorder="1" applyAlignment="1">
      <alignment vertical="top"/>
    </xf>
    <xf numFmtId="5" fontId="9" fillId="9" borderId="0" xfId="1" applyNumberFormat="1" applyFont="1" applyFill="1" applyBorder="1" applyAlignment="1">
      <alignment vertical="top"/>
    </xf>
    <xf numFmtId="5" fontId="9" fillId="9" borderId="11" xfId="1" applyNumberFormat="1" applyFont="1" applyFill="1" applyBorder="1" applyAlignment="1">
      <alignment vertical="top"/>
    </xf>
    <xf numFmtId="5" fontId="9" fillId="9" borderId="14" xfId="1" applyNumberFormat="1" applyFont="1" applyFill="1" applyBorder="1" applyAlignment="1">
      <alignment vertical="top"/>
    </xf>
    <xf numFmtId="5" fontId="9" fillId="9" borderId="15" xfId="1" applyNumberFormat="1" applyFont="1" applyFill="1" applyBorder="1" applyAlignment="1">
      <alignment vertical="top"/>
    </xf>
    <xf numFmtId="0" fontId="9" fillId="9" borderId="10" xfId="0" applyFont="1" applyFill="1" applyBorder="1" applyAlignment="1">
      <alignment horizontal="right" vertical="top"/>
    </xf>
    <xf numFmtId="0" fontId="5" fillId="9" borderId="13" xfId="0" applyFont="1" applyFill="1" applyBorder="1" applyAlignment="1">
      <alignment vertical="top"/>
    </xf>
    <xf numFmtId="0" fontId="5" fillId="9" borderId="14" xfId="0" applyFont="1" applyFill="1" applyBorder="1" applyAlignment="1">
      <alignment vertical="top"/>
    </xf>
    <xf numFmtId="0" fontId="9" fillId="9" borderId="15" xfId="0" applyFont="1" applyFill="1" applyBorder="1" applyAlignment="1">
      <alignment vertical="top"/>
    </xf>
    <xf numFmtId="0" fontId="5" fillId="0" borderId="10" xfId="0" applyFont="1" applyBorder="1" applyAlignment="1">
      <alignment vertical="top"/>
    </xf>
    <xf numFmtId="0" fontId="5" fillId="0" borderId="0" xfId="0" applyFont="1" applyBorder="1" applyAlignment="1">
      <alignment vertical="top"/>
    </xf>
    <xf numFmtId="0" fontId="9" fillId="0" borderId="0" xfId="0" applyFont="1" applyBorder="1" applyAlignment="1">
      <alignment vertical="top"/>
    </xf>
    <xf numFmtId="0" fontId="5" fillId="9" borderId="10" xfId="0" applyFont="1" applyFill="1" applyBorder="1" applyAlignment="1">
      <alignment vertical="top"/>
    </xf>
    <xf numFmtId="0" fontId="5" fillId="9" borderId="0" xfId="0" applyFont="1" applyFill="1" applyBorder="1" applyAlignment="1">
      <alignment vertical="top"/>
    </xf>
    <xf numFmtId="0" fontId="9" fillId="9" borderId="10" xfId="0" applyFont="1" applyFill="1" applyBorder="1" applyAlignment="1">
      <alignment horizontal="left" vertical="top"/>
    </xf>
    <xf numFmtId="0" fontId="9" fillId="9" borderId="0" xfId="0" applyFont="1" applyFill="1" applyBorder="1" applyAlignment="1">
      <alignment horizontal="left" vertical="top"/>
    </xf>
    <xf numFmtId="166" fontId="9" fillId="9" borderId="0" xfId="0" applyNumberFormat="1" applyFont="1" applyFill="1" applyBorder="1" applyAlignment="1">
      <alignment vertical="top"/>
    </xf>
    <xf numFmtId="166" fontId="5" fillId="0" borderId="0" xfId="1" applyNumberFormat="1" applyFont="1" applyFill="1" applyBorder="1" applyAlignment="1">
      <alignment vertical="top"/>
    </xf>
    <xf numFmtId="2" fontId="9" fillId="9" borderId="0" xfId="0" applyNumberFormat="1" applyFont="1" applyFill="1" applyBorder="1" applyAlignment="1">
      <alignment vertical="top"/>
    </xf>
    <xf numFmtId="0" fontId="66" fillId="0" borderId="0" xfId="0" applyFont="1" applyAlignment="1">
      <alignment wrapText="1"/>
    </xf>
    <xf numFmtId="0" fontId="67" fillId="34" borderId="0" xfId="0" applyFont="1" applyFill="1" applyAlignment="1">
      <alignment horizontal="center" vertical="center"/>
    </xf>
    <xf numFmtId="170" fontId="68" fillId="36" borderId="0" xfId="0" applyNumberFormat="1" applyFont="1" applyFill="1" applyBorder="1" applyAlignment="1">
      <alignment horizontal="left" vertical="center"/>
    </xf>
    <xf numFmtId="3" fontId="0" fillId="0" borderId="0" xfId="0" applyNumberFormat="1" applyAlignment="1"/>
    <xf numFmtId="0" fontId="66" fillId="0" borderId="0" xfId="0" applyFont="1" applyAlignment="1"/>
    <xf numFmtId="166" fontId="0" fillId="0" borderId="0" xfId="1" applyNumberFormat="1" applyFont="1"/>
    <xf numFmtId="166" fontId="0" fillId="0" borderId="0" xfId="1" applyNumberFormat="1" applyFont="1" applyAlignment="1"/>
    <xf numFmtId="166" fontId="22" fillId="0" borderId="0" xfId="1" applyNumberFormat="1" applyFont="1"/>
    <xf numFmtId="0" fontId="21" fillId="35" borderId="0" xfId="1" applyNumberFormat="1" applyFont="1" applyFill="1" applyAlignment="1">
      <alignment horizontal="center" vertical="center"/>
    </xf>
    <xf numFmtId="166" fontId="0" fillId="0" borderId="0" xfId="0" applyNumberFormat="1"/>
    <xf numFmtId="2" fontId="0" fillId="0" borderId="0" xfId="0" applyNumberFormat="1" applyAlignment="1">
      <alignment vertical="center" wrapText="1"/>
    </xf>
    <xf numFmtId="190" fontId="45" fillId="0" borderId="1" xfId="0" applyNumberFormat="1" applyFont="1" applyBorder="1" applyAlignment="1">
      <alignment horizontal="center" vertical="center"/>
    </xf>
    <xf numFmtId="164" fontId="45" fillId="0" borderId="1" xfId="0" applyNumberFormat="1" applyFont="1" applyFill="1" applyBorder="1" applyAlignment="1">
      <alignment vertical="center"/>
    </xf>
    <xf numFmtId="191" fontId="0" fillId="0" borderId="0" xfId="2" applyNumberFormat="1" applyFont="1"/>
    <xf numFmtId="166" fontId="0" fillId="0" borderId="1" xfId="1" applyNumberFormat="1" applyFont="1" applyBorder="1"/>
    <xf numFmtId="0" fontId="22" fillId="0" borderId="0" xfId="0" applyFont="1" applyAlignment="1">
      <alignment wrapText="1"/>
    </xf>
    <xf numFmtId="191" fontId="0" fillId="0" borderId="0" xfId="0" applyNumberFormat="1"/>
    <xf numFmtId="44" fontId="0" fillId="0" borderId="0" xfId="0" applyNumberFormat="1"/>
    <xf numFmtId="168" fontId="0" fillId="0" borderId="0" xfId="8" applyNumberFormat="1" applyFont="1"/>
    <xf numFmtId="0" fontId="0" fillId="7" borderId="1" xfId="0" applyFill="1" applyBorder="1"/>
    <xf numFmtId="191" fontId="0" fillId="7" borderId="1" xfId="2" applyNumberFormat="1" applyFont="1" applyFill="1" applyBorder="1"/>
    <xf numFmtId="0" fontId="0" fillId="37" borderId="1" xfId="0" applyFill="1" applyBorder="1"/>
    <xf numFmtId="191" fontId="0" fillId="37" borderId="1" xfId="2" applyNumberFormat="1" applyFont="1" applyFill="1" applyBorder="1"/>
    <xf numFmtId="166" fontId="0" fillId="37" borderId="1" xfId="1" applyNumberFormat="1" applyFont="1" applyFill="1" applyBorder="1"/>
    <xf numFmtId="166" fontId="22" fillId="7" borderId="1" xfId="1" applyNumberFormat="1" applyFont="1" applyFill="1" applyBorder="1"/>
    <xf numFmtId="0" fontId="22" fillId="7" borderId="1" xfId="0" applyFont="1" applyFill="1" applyBorder="1"/>
    <xf numFmtId="44" fontId="0" fillId="7" borderId="28" xfId="2" applyNumberFormat="1" applyFont="1" applyFill="1" applyBorder="1"/>
    <xf numFmtId="44" fontId="0" fillId="37" borderId="28" xfId="2" applyNumberFormat="1" applyFont="1" applyFill="1" applyBorder="1"/>
    <xf numFmtId="44" fontId="22" fillId="7" borderId="28" xfId="2" applyNumberFormat="1" applyFont="1" applyFill="1" applyBorder="1"/>
    <xf numFmtId="0" fontId="22" fillId="38" borderId="1" xfId="0" applyFont="1" applyFill="1" applyBorder="1" applyAlignment="1">
      <alignment wrapText="1"/>
    </xf>
    <xf numFmtId="191" fontId="22" fillId="7" borderId="1" xfId="2" applyNumberFormat="1" applyFont="1" applyFill="1" applyBorder="1"/>
    <xf numFmtId="0" fontId="19" fillId="2" borderId="0" xfId="5" applyFont="1" applyFill="1" applyBorder="1" applyAlignment="1">
      <alignment horizontal="left" vertical="top" wrapText="1"/>
    </xf>
    <xf numFmtId="0" fontId="9" fillId="6" borderId="11" xfId="0" applyFont="1" applyFill="1" applyBorder="1" applyAlignment="1">
      <alignment horizontal="left" vertical="top" wrapText="1"/>
    </xf>
    <xf numFmtId="0" fontId="9" fillId="6" borderId="0" xfId="0" applyFont="1" applyFill="1" applyBorder="1" applyAlignment="1">
      <alignment horizontal="left" vertical="top" wrapText="1"/>
    </xf>
    <xf numFmtId="0" fontId="45" fillId="0" borderId="0" xfId="0" applyFont="1"/>
    <xf numFmtId="0" fontId="45" fillId="0" borderId="0" xfId="0" applyFont="1" applyAlignment="1"/>
    <xf numFmtId="0" fontId="69" fillId="0" borderId="0" xfId="0" applyFont="1" applyAlignment="1">
      <alignment vertical="top" wrapText="1"/>
    </xf>
    <xf numFmtId="0" fontId="69" fillId="0" borderId="0" xfId="0" applyFont="1" applyAlignment="1">
      <alignment horizontal="left" vertical="top"/>
    </xf>
    <xf numFmtId="0" fontId="69" fillId="0" borderId="0" xfId="0" applyFont="1" applyAlignment="1">
      <alignment vertical="top"/>
    </xf>
    <xf numFmtId="0" fontId="70" fillId="0" borderId="0" xfId="0" applyFont="1" applyBorder="1" applyAlignment="1">
      <alignment vertical="center"/>
    </xf>
    <xf numFmtId="0" fontId="70" fillId="0" borderId="0" xfId="0" applyFont="1" applyFill="1" applyBorder="1" applyAlignment="1">
      <alignment vertical="center"/>
    </xf>
    <xf numFmtId="0" fontId="71" fillId="0" borderId="0" xfId="0" applyFont="1" applyFill="1" applyBorder="1" applyAlignment="1">
      <alignment vertical="center"/>
    </xf>
    <xf numFmtId="0" fontId="72" fillId="0" borderId="0" xfId="0" applyFont="1" applyFill="1" applyBorder="1" applyAlignment="1">
      <alignment horizontal="left" vertical="center"/>
    </xf>
    <xf numFmtId="0" fontId="72" fillId="0" borderId="0" xfId="0" applyFont="1" applyBorder="1" applyAlignment="1">
      <alignment horizontal="left" vertical="center"/>
    </xf>
    <xf numFmtId="0" fontId="72" fillId="0" borderId="0" xfId="0" applyFont="1" applyAlignment="1">
      <alignment horizontal="left" vertical="center"/>
    </xf>
    <xf numFmtId="0" fontId="72" fillId="0" borderId="0" xfId="0" applyFont="1" applyFill="1" applyAlignment="1">
      <alignment horizontal="left" vertical="center"/>
    </xf>
    <xf numFmtId="0" fontId="73" fillId="0" borderId="62" xfId="0" applyFont="1" applyBorder="1" applyAlignment="1">
      <alignment horizontal="center" vertical="center"/>
    </xf>
    <xf numFmtId="0" fontId="73" fillId="0" borderId="64" xfId="0" applyFont="1" applyBorder="1" applyAlignment="1">
      <alignment horizontal="center" vertical="center"/>
    </xf>
    <xf numFmtId="0" fontId="72" fillId="0" borderId="64" xfId="0" applyFont="1" applyBorder="1" applyAlignment="1">
      <alignment horizontal="center" vertical="center"/>
    </xf>
    <xf numFmtId="0" fontId="73" fillId="0" borderId="0" xfId="0" applyFont="1" applyFill="1" applyBorder="1" applyAlignment="1">
      <alignment horizontal="center" vertical="center"/>
    </xf>
    <xf numFmtId="0" fontId="74" fillId="0" borderId="0" xfId="0" applyFont="1" applyFill="1" applyBorder="1" applyAlignment="1">
      <alignment vertical="center" wrapText="1"/>
    </xf>
    <xf numFmtId="9" fontId="73" fillId="2" borderId="37" xfId="8" applyFont="1" applyFill="1" applyBorder="1" applyAlignment="1">
      <alignment horizontal="center" vertical="center"/>
    </xf>
    <xf numFmtId="0" fontId="74" fillId="0" borderId="0" xfId="0" applyFont="1" applyFill="1" applyBorder="1" applyAlignment="1">
      <alignment horizontal="center" vertical="center" wrapText="1"/>
    </xf>
    <xf numFmtId="170" fontId="72" fillId="0" borderId="37" xfId="0" applyNumberFormat="1" applyFont="1" applyFill="1" applyBorder="1" applyAlignment="1">
      <alignment horizontal="center" vertical="center"/>
    </xf>
    <xf numFmtId="170" fontId="72" fillId="0" borderId="0" xfId="1" applyNumberFormat="1" applyFont="1" applyFill="1" applyBorder="1" applyAlignment="1">
      <alignment horizontal="right" vertical="center" wrapText="1"/>
    </xf>
    <xf numFmtId="170" fontId="75" fillId="0" borderId="0" xfId="1" applyNumberFormat="1" applyFont="1" applyFill="1" applyBorder="1" applyAlignment="1">
      <alignment horizontal="right" vertical="center" wrapText="1"/>
    </xf>
    <xf numFmtId="0" fontId="73" fillId="0" borderId="39" xfId="0" applyFont="1" applyBorder="1" applyAlignment="1">
      <alignment horizontal="left" vertical="center"/>
    </xf>
    <xf numFmtId="170" fontId="73" fillId="0" borderId="0" xfId="1" applyNumberFormat="1" applyFont="1" applyFill="1" applyBorder="1" applyAlignment="1">
      <alignment horizontal="right" vertical="center" wrapText="1"/>
    </xf>
    <xf numFmtId="0" fontId="71" fillId="0" borderId="0" xfId="0" applyFont="1" applyBorder="1" applyAlignment="1">
      <alignment vertical="center"/>
    </xf>
    <xf numFmtId="0" fontId="72" fillId="0" borderId="0" xfId="0" applyFont="1" applyAlignment="1">
      <alignment horizontal="center" vertical="center"/>
    </xf>
    <xf numFmtId="9" fontId="74" fillId="2" borderId="37" xfId="8" applyFont="1" applyFill="1" applyBorder="1" applyAlignment="1">
      <alignment horizontal="center" vertical="center" wrapText="1"/>
    </xf>
    <xf numFmtId="170" fontId="72" fillId="0" borderId="37" xfId="1" applyNumberFormat="1" applyFont="1" applyBorder="1" applyAlignment="1">
      <alignment horizontal="center" vertical="center" wrapText="1"/>
    </xf>
    <xf numFmtId="170" fontId="72" fillId="0" borderId="0" xfId="1" applyNumberFormat="1" applyFont="1" applyFill="1" applyBorder="1" applyAlignment="1">
      <alignment horizontal="center" vertical="center" wrapText="1"/>
    </xf>
    <xf numFmtId="170" fontId="72" fillId="0" borderId="0" xfId="0" applyNumberFormat="1" applyFont="1" applyAlignment="1">
      <alignment horizontal="left" vertical="center"/>
    </xf>
    <xf numFmtId="9" fontId="72" fillId="0" borderId="0" xfId="8" applyFont="1" applyAlignment="1">
      <alignment horizontal="left" vertical="center"/>
    </xf>
    <xf numFmtId="170" fontId="73" fillId="0" borderId="0" xfId="0" applyNumberFormat="1" applyFont="1" applyFill="1" applyBorder="1" applyAlignment="1">
      <alignment horizontal="center" vertical="center"/>
    </xf>
    <xf numFmtId="0" fontId="72" fillId="0" borderId="0" xfId="0" applyFont="1" applyBorder="1" applyAlignment="1">
      <alignment vertical="center"/>
    </xf>
    <xf numFmtId="0" fontId="73" fillId="0" borderId="63" xfId="0" applyFont="1" applyBorder="1" applyAlignment="1">
      <alignment horizontal="center" vertical="center"/>
    </xf>
    <xf numFmtId="0" fontId="72" fillId="0" borderId="64" xfId="0" applyFont="1" applyBorder="1" applyAlignment="1">
      <alignment horizontal="left" vertical="center"/>
    </xf>
    <xf numFmtId="170" fontId="72" fillId="0" borderId="35" xfId="2" applyNumberFormat="1" applyFont="1" applyBorder="1" applyAlignment="1">
      <alignment horizontal="center" vertical="center"/>
    </xf>
    <xf numFmtId="0" fontId="72" fillId="0" borderId="35" xfId="0" applyFont="1" applyBorder="1" applyAlignment="1">
      <alignment horizontal="center" vertical="center" wrapText="1"/>
    </xf>
    <xf numFmtId="3" fontId="72" fillId="0" borderId="1" xfId="1" applyNumberFormat="1" applyFont="1" applyBorder="1" applyAlignment="1">
      <alignment horizontal="right" vertical="center" wrapText="1"/>
    </xf>
    <xf numFmtId="3" fontId="73" fillId="25" borderId="43" xfId="1" applyNumberFormat="1" applyFont="1" applyFill="1" applyBorder="1" applyAlignment="1">
      <alignment horizontal="right" vertical="center" wrapText="1"/>
    </xf>
    <xf numFmtId="0" fontId="72" fillId="0" borderId="0" xfId="0" applyFont="1" applyFill="1" applyBorder="1" applyAlignment="1">
      <alignment horizontal="center" vertical="center"/>
    </xf>
    <xf numFmtId="0" fontId="73" fillId="0" borderId="40" xfId="0" applyFont="1" applyBorder="1" applyAlignment="1">
      <alignment vertical="center"/>
    </xf>
    <xf numFmtId="0" fontId="72" fillId="0" borderId="63" xfId="0" applyFont="1" applyBorder="1" applyAlignment="1">
      <alignment horizontal="center" vertical="center"/>
    </xf>
    <xf numFmtId="170" fontId="72" fillId="0" borderId="0" xfId="0" applyNumberFormat="1" applyFont="1" applyFill="1" applyBorder="1" applyAlignment="1">
      <alignment horizontal="left" vertical="center"/>
    </xf>
    <xf numFmtId="170" fontId="72" fillId="0" borderId="0" xfId="1" applyNumberFormat="1" applyFont="1" applyFill="1" applyBorder="1" applyAlignment="1">
      <alignment horizontal="left" vertical="center" wrapText="1"/>
    </xf>
    <xf numFmtId="170" fontId="72" fillId="0" borderId="0" xfId="0" applyNumberFormat="1" applyFont="1" applyFill="1" applyBorder="1" applyAlignment="1">
      <alignment vertical="center"/>
    </xf>
    <xf numFmtId="3" fontId="72" fillId="0" borderId="0" xfId="1" applyNumberFormat="1" applyFont="1" applyFill="1" applyBorder="1" applyAlignment="1">
      <alignment horizontal="right" vertical="center" wrapText="1"/>
    </xf>
    <xf numFmtId="3" fontId="73" fillId="0" borderId="0" xfId="1" applyNumberFormat="1" applyFont="1" applyFill="1" applyBorder="1" applyAlignment="1">
      <alignment horizontal="right" vertical="center" wrapText="1"/>
    </xf>
    <xf numFmtId="0" fontId="72" fillId="0" borderId="35" xfId="0" applyFont="1" applyBorder="1" applyAlignment="1">
      <alignment horizontal="left" vertical="center"/>
    </xf>
    <xf numFmtId="0" fontId="73" fillId="0" borderId="39" xfId="0" applyFont="1" applyBorder="1" applyAlignment="1">
      <alignment horizontal="right" vertical="center"/>
    </xf>
    <xf numFmtId="0" fontId="69" fillId="0" borderId="0" xfId="0" applyFont="1" applyAlignment="1">
      <alignment horizontal="left" vertical="center"/>
    </xf>
    <xf numFmtId="0" fontId="76" fillId="0" borderId="0" xfId="0" applyFont="1" applyBorder="1" applyAlignment="1">
      <alignment vertical="center"/>
    </xf>
    <xf numFmtId="0" fontId="77" fillId="0" borderId="0" xfId="0" applyFont="1" applyAlignment="1">
      <alignment vertical="center"/>
    </xf>
    <xf numFmtId="0" fontId="20" fillId="0" borderId="1" xfId="0" applyFont="1" applyFill="1" applyBorder="1" applyAlignment="1">
      <alignment horizontal="center" vertical="center" wrapText="1"/>
    </xf>
    <xf numFmtId="0" fontId="77" fillId="19" borderId="0" xfId="0" applyFont="1" applyFill="1" applyAlignment="1">
      <alignment vertical="center"/>
    </xf>
    <xf numFmtId="0" fontId="45" fillId="0" borderId="0" xfId="0" applyFont="1" applyBorder="1"/>
    <xf numFmtId="44" fontId="45" fillId="0" borderId="0" xfId="2" applyNumberFormat="1" applyFont="1" applyBorder="1"/>
    <xf numFmtId="0" fontId="20" fillId="0" borderId="1" xfId="0" applyFont="1" applyBorder="1" applyAlignment="1">
      <alignment horizontal="center" vertical="center" wrapText="1"/>
    </xf>
    <xf numFmtId="9" fontId="20" fillId="0" borderId="1" xfId="0" applyNumberFormat="1" applyFont="1" applyBorder="1" applyAlignment="1">
      <alignment horizontal="center" vertical="center"/>
    </xf>
    <xf numFmtId="191" fontId="20" fillId="0" borderId="1" xfId="2" applyNumberFormat="1" applyFont="1" applyFill="1" applyBorder="1" applyAlignment="1">
      <alignment vertical="center" wrapText="1"/>
    </xf>
    <xf numFmtId="0" fontId="5" fillId="0" borderId="6" xfId="0" applyFont="1" applyBorder="1" applyAlignment="1">
      <alignment vertical="center"/>
    </xf>
    <xf numFmtId="0" fontId="5" fillId="0" borderId="7" xfId="0" applyFont="1" applyBorder="1" applyAlignment="1">
      <alignment vertical="center"/>
    </xf>
    <xf numFmtId="0" fontId="5" fillId="0" borderId="8" xfId="0" applyFont="1" applyBorder="1" applyAlignment="1">
      <alignment vertical="center"/>
    </xf>
    <xf numFmtId="0" fontId="9" fillId="0" borderId="10" xfId="0" applyFont="1" applyBorder="1" applyAlignment="1">
      <alignment horizontal="right" vertical="center"/>
    </xf>
    <xf numFmtId="0" fontId="5" fillId="0" borderId="0" xfId="0" applyFont="1" applyBorder="1" applyAlignment="1">
      <alignment vertical="center"/>
    </xf>
    <xf numFmtId="0" fontId="5" fillId="0" borderId="11" xfId="0" applyFont="1" applyBorder="1" applyAlignment="1">
      <alignment vertical="center"/>
    </xf>
    <xf numFmtId="0" fontId="78" fillId="17" borderId="10" xfId="0" applyFont="1" applyFill="1" applyBorder="1" applyAlignment="1">
      <alignment vertical="top"/>
    </xf>
    <xf numFmtId="0" fontId="5" fillId="0" borderId="11" xfId="0" applyFont="1" applyFill="1" applyBorder="1" applyAlignment="1">
      <alignment vertical="center"/>
    </xf>
    <xf numFmtId="0" fontId="9" fillId="0" borderId="10" xfId="0" applyFont="1" applyFill="1" applyBorder="1" applyAlignment="1">
      <alignment horizontal="center" vertical="center"/>
    </xf>
    <xf numFmtId="0" fontId="9" fillId="0" borderId="11" xfId="0" applyFont="1" applyFill="1" applyBorder="1" applyAlignment="1">
      <alignment horizontal="center" vertical="center"/>
    </xf>
    <xf numFmtId="0" fontId="5" fillId="0" borderId="10" xfId="0" applyFont="1" applyBorder="1" applyAlignment="1">
      <alignment vertical="center" wrapText="1"/>
    </xf>
    <xf numFmtId="0" fontId="5" fillId="0" borderId="0" xfId="0" applyFont="1" applyBorder="1" applyAlignment="1">
      <alignment horizontal="center" vertical="center"/>
    </xf>
    <xf numFmtId="3" fontId="5" fillId="0" borderId="10" xfId="0" applyNumberFormat="1" applyFont="1" applyBorder="1" applyAlignment="1">
      <alignment vertical="center"/>
    </xf>
    <xf numFmtId="3" fontId="5" fillId="0" borderId="0" xfId="0" applyNumberFormat="1" applyFont="1" applyBorder="1" applyAlignment="1">
      <alignment vertical="center"/>
    </xf>
    <xf numFmtId="3" fontId="5" fillId="0" borderId="11" xfId="0" applyNumberFormat="1" applyFont="1" applyBorder="1" applyAlignment="1">
      <alignment vertical="center"/>
    </xf>
    <xf numFmtId="0" fontId="5" fillId="0" borderId="10" xfId="0" applyFont="1" applyBorder="1" applyAlignment="1">
      <alignment vertical="center"/>
    </xf>
    <xf numFmtId="171" fontId="5" fillId="0" borderId="0" xfId="0" applyNumberFormat="1" applyFont="1" applyBorder="1" applyAlignment="1">
      <alignment vertical="center"/>
    </xf>
    <xf numFmtId="171" fontId="5" fillId="0" borderId="11" xfId="0" applyNumberFormat="1" applyFont="1" applyBorder="1" applyAlignment="1">
      <alignment vertical="center"/>
    </xf>
    <xf numFmtId="10" fontId="5" fillId="0" borderId="0" xfId="8" applyNumberFormat="1" applyFont="1" applyBorder="1" applyAlignment="1">
      <alignment vertical="center"/>
    </xf>
    <xf numFmtId="10" fontId="5" fillId="0" borderId="11" xfId="8" applyNumberFormat="1" applyFont="1" applyBorder="1" applyAlignment="1">
      <alignment vertical="center"/>
    </xf>
    <xf numFmtId="0" fontId="5" fillId="0" borderId="13" xfId="0" applyFont="1" applyBorder="1" applyAlignment="1">
      <alignment vertical="center"/>
    </xf>
    <xf numFmtId="0" fontId="5" fillId="0" borderId="14" xfId="0" applyFont="1" applyBorder="1" applyAlignment="1">
      <alignment horizontal="center" vertical="center"/>
    </xf>
    <xf numFmtId="0" fontId="5" fillId="0" borderId="15" xfId="0" applyFont="1" applyBorder="1" applyAlignment="1">
      <alignment vertical="center"/>
    </xf>
    <xf numFmtId="3" fontId="5" fillId="0" borderId="13" xfId="0" applyNumberFormat="1" applyFont="1" applyBorder="1" applyAlignment="1">
      <alignment vertical="center"/>
    </xf>
    <xf numFmtId="3" fontId="5" fillId="0" borderId="14" xfId="0" applyNumberFormat="1" applyFont="1" applyBorder="1" applyAlignment="1">
      <alignment vertical="center"/>
    </xf>
    <xf numFmtId="3" fontId="5" fillId="0" borderId="15" xfId="0" applyNumberFormat="1" applyFont="1" applyBorder="1" applyAlignment="1">
      <alignment vertical="center"/>
    </xf>
    <xf numFmtId="44" fontId="5" fillId="0" borderId="0" xfId="2" applyFont="1" applyBorder="1" applyAlignment="1">
      <alignment vertical="center"/>
    </xf>
    <xf numFmtId="44" fontId="5" fillId="0" borderId="11" xfId="2" applyFont="1" applyBorder="1" applyAlignment="1">
      <alignment vertical="center"/>
    </xf>
    <xf numFmtId="191" fontId="5" fillId="0" borderId="0" xfId="2" applyNumberFormat="1" applyFont="1" applyBorder="1" applyAlignment="1">
      <alignment vertical="center"/>
    </xf>
    <xf numFmtId="191" fontId="5" fillId="0" borderId="11" xfId="2" applyNumberFormat="1" applyFont="1" applyBorder="1" applyAlignment="1">
      <alignment vertical="center"/>
    </xf>
    <xf numFmtId="0" fontId="79" fillId="0" borderId="0" xfId="0" applyFont="1" applyBorder="1" applyAlignment="1">
      <alignment vertical="center"/>
    </xf>
    <xf numFmtId="9" fontId="5" fillId="0" borderId="0" xfId="0" applyNumberFormat="1" applyFont="1" applyBorder="1" applyAlignment="1">
      <alignment vertical="center"/>
    </xf>
    <xf numFmtId="0" fontId="55" fillId="23" borderId="1" xfId="0" applyFont="1" applyFill="1" applyBorder="1" applyAlignment="1">
      <alignment horizontal="center" vertical="center" wrapText="1"/>
    </xf>
    <xf numFmtId="0" fontId="45" fillId="0" borderId="1" xfId="0" applyFont="1" applyBorder="1" applyAlignment="1">
      <alignment horizontal="center" vertical="center" wrapText="1"/>
    </xf>
    <xf numFmtId="0" fontId="45" fillId="0" borderId="1" xfId="0" applyFont="1" applyBorder="1" applyAlignment="1">
      <alignment horizontal="center" vertical="center"/>
    </xf>
    <xf numFmtId="3" fontId="45" fillId="0" borderId="1" xfId="1" applyNumberFormat="1" applyFont="1" applyBorder="1" applyAlignment="1">
      <alignment horizontal="right" vertical="center" wrapText="1"/>
    </xf>
    <xf numFmtId="3" fontId="45" fillId="0" borderId="1" xfId="1" applyNumberFormat="1" applyFont="1" applyFill="1" applyBorder="1" applyAlignment="1">
      <alignment horizontal="right" vertical="center" wrapText="1"/>
    </xf>
    <xf numFmtId="170" fontId="45" fillId="0" borderId="1" xfId="1" applyNumberFormat="1" applyFont="1" applyBorder="1" applyAlignment="1">
      <alignment horizontal="right" vertical="center" wrapText="1"/>
    </xf>
    <xf numFmtId="170" fontId="5" fillId="0" borderId="1" xfId="0" applyNumberFormat="1" applyFont="1" applyFill="1" applyBorder="1" applyAlignment="1">
      <alignment vertical="center"/>
    </xf>
    <xf numFmtId="3" fontId="20" fillId="0" borderId="1" xfId="1" applyNumberFormat="1" applyFont="1" applyBorder="1" applyAlignment="1">
      <alignment horizontal="right" vertical="center" wrapText="1"/>
    </xf>
    <xf numFmtId="170" fontId="20" fillId="0" borderId="1" xfId="1" applyNumberFormat="1" applyFont="1" applyBorder="1" applyAlignment="1">
      <alignment horizontal="right" vertical="center" wrapText="1"/>
    </xf>
    <xf numFmtId="0" fontId="80" fillId="0" borderId="0" xfId="0" applyFont="1" applyBorder="1" applyAlignment="1">
      <alignment vertical="center"/>
    </xf>
    <xf numFmtId="0" fontId="0" fillId="0" borderId="0" xfId="0" applyFill="1" applyBorder="1"/>
    <xf numFmtId="9" fontId="0" fillId="0" borderId="0" xfId="8" applyFont="1"/>
    <xf numFmtId="9" fontId="0" fillId="0" borderId="1" xfId="0" applyNumberFormat="1" applyBorder="1"/>
    <xf numFmtId="0" fontId="17" fillId="0" borderId="10" xfId="0" applyFont="1" applyBorder="1" applyAlignment="1">
      <alignment vertical="center" wrapText="1"/>
    </xf>
    <xf numFmtId="0" fontId="17" fillId="0" borderId="10" xfId="0" applyFont="1" applyBorder="1" applyAlignment="1">
      <alignment vertical="center"/>
    </xf>
    <xf numFmtId="0" fontId="17" fillId="0" borderId="10" xfId="0" applyFont="1" applyFill="1" applyBorder="1" applyAlignment="1">
      <alignment vertical="center"/>
    </xf>
    <xf numFmtId="0" fontId="17" fillId="0" borderId="13" xfId="0" applyFont="1" applyBorder="1" applyAlignment="1">
      <alignment vertical="center"/>
    </xf>
    <xf numFmtId="0" fontId="17" fillId="0" borderId="0" xfId="0" applyFont="1" applyBorder="1" applyAlignment="1">
      <alignment vertical="center"/>
    </xf>
    <xf numFmtId="0" fontId="17" fillId="0" borderId="6" xfId="0" applyFont="1" applyBorder="1" applyAlignment="1">
      <alignment vertical="center"/>
    </xf>
    <xf numFmtId="0" fontId="8" fillId="0" borderId="10" xfId="0" applyFont="1" applyBorder="1" applyAlignment="1">
      <alignment horizontal="right" vertical="center"/>
    </xf>
    <xf numFmtId="0" fontId="17" fillId="0" borderId="10" xfId="0" applyFont="1" applyBorder="1"/>
    <xf numFmtId="166" fontId="5" fillId="0" borderId="0" xfId="1" applyNumberFormat="1" applyFont="1" applyBorder="1"/>
    <xf numFmtId="166" fontId="5" fillId="0" borderId="11" xfId="1" applyNumberFormat="1" applyFont="1" applyBorder="1"/>
    <xf numFmtId="168" fontId="20" fillId="0" borderId="1" xfId="0" applyNumberFormat="1" applyFont="1" applyBorder="1" applyAlignment="1">
      <alignment horizontal="center" vertical="center"/>
    </xf>
    <xf numFmtId="43" fontId="0" fillId="0" borderId="0" xfId="0" applyNumberFormat="1"/>
    <xf numFmtId="0" fontId="43" fillId="0" borderId="0" xfId="0" applyFont="1" applyAlignment="1">
      <alignment vertical="center" wrapText="1"/>
    </xf>
    <xf numFmtId="0" fontId="13" fillId="11" borderId="1" xfId="0" applyFont="1" applyFill="1" applyBorder="1" applyAlignment="1">
      <alignment horizontal="left" vertical="top"/>
    </xf>
    <xf numFmtId="0" fontId="13" fillId="11" borderId="37" xfId="0" applyFont="1" applyFill="1" applyBorder="1" applyAlignment="1">
      <alignment horizontal="left" vertical="top"/>
    </xf>
    <xf numFmtId="5" fontId="9" fillId="9" borderId="1" xfId="1" applyNumberFormat="1" applyFont="1" applyFill="1" applyBorder="1" applyAlignment="1">
      <alignment horizontal="center" vertical="center"/>
    </xf>
    <xf numFmtId="2" fontId="9" fillId="9" borderId="1" xfId="0" applyNumberFormat="1" applyFont="1" applyFill="1" applyBorder="1" applyAlignment="1">
      <alignment horizontal="center" vertical="center"/>
    </xf>
    <xf numFmtId="0" fontId="9" fillId="23" borderId="30" xfId="0" applyFont="1" applyFill="1" applyBorder="1" applyAlignment="1">
      <alignment horizontal="center" vertical="center" wrapText="1"/>
    </xf>
    <xf numFmtId="0" fontId="9" fillId="23" borderId="89" xfId="0" applyFont="1" applyFill="1" applyBorder="1" applyAlignment="1">
      <alignment horizontal="center" vertical="center" wrapText="1"/>
    </xf>
    <xf numFmtId="0" fontId="35" fillId="0" borderId="0" xfId="0" applyFont="1" applyBorder="1" applyAlignment="1">
      <alignment vertical="center"/>
    </xf>
    <xf numFmtId="0" fontId="81" fillId="23" borderId="1" xfId="0" applyFont="1" applyFill="1" applyBorder="1" applyAlignment="1">
      <alignment horizontal="center" vertical="center"/>
    </xf>
    <xf numFmtId="0" fontId="9" fillId="23" borderId="1" xfId="0" applyFont="1" applyFill="1" applyBorder="1" applyAlignment="1">
      <alignment horizontal="center" vertical="center"/>
    </xf>
    <xf numFmtId="185" fontId="5" fillId="0" borderId="1" xfId="0" applyNumberFormat="1" applyFont="1" applyBorder="1" applyAlignment="1">
      <alignment horizontal="center" vertical="center"/>
    </xf>
    <xf numFmtId="0" fontId="55" fillId="0" borderId="0" xfId="0" applyFont="1" applyFill="1" applyBorder="1" applyAlignment="1">
      <alignment horizontal="center" vertical="center" wrapText="1"/>
    </xf>
    <xf numFmtId="0" fontId="5" fillId="0" borderId="0" xfId="0" applyFont="1" applyFill="1" applyBorder="1" applyAlignment="1">
      <alignment vertical="center" wrapText="1"/>
    </xf>
    <xf numFmtId="164" fontId="54" fillId="0" borderId="0" xfId="0" applyNumberFormat="1" applyFont="1" applyFill="1" applyBorder="1" applyAlignment="1">
      <alignment horizontal="center" vertical="center"/>
    </xf>
    <xf numFmtId="7" fontId="5" fillId="0" borderId="0" xfId="0" applyNumberFormat="1" applyFont="1" applyFill="1" applyBorder="1" applyAlignment="1">
      <alignment horizontal="center" vertical="center"/>
    </xf>
    <xf numFmtId="0" fontId="5" fillId="0" borderId="0" xfId="0" applyFont="1" applyBorder="1" applyAlignment="1">
      <alignment horizontal="left" vertical="center" wrapText="1"/>
    </xf>
    <xf numFmtId="0" fontId="78" fillId="26" borderId="10" xfId="0" applyFont="1" applyFill="1" applyBorder="1" applyAlignment="1">
      <alignment horizontal="left" vertical="center" wrapText="1"/>
    </xf>
    <xf numFmtId="0" fontId="5" fillId="0" borderId="0" xfId="0" applyFont="1" applyFill="1" applyAlignment="1">
      <alignment vertical="center"/>
    </xf>
    <xf numFmtId="3" fontId="5" fillId="0" borderId="0" xfId="0" applyNumberFormat="1" applyFont="1" applyFill="1" applyBorder="1" applyAlignment="1">
      <alignment vertical="center"/>
    </xf>
    <xf numFmtId="3" fontId="9" fillId="0" borderId="10" xfId="0" applyNumberFormat="1" applyFont="1" applyBorder="1" applyAlignment="1">
      <alignment vertical="center"/>
    </xf>
    <xf numFmtId="3" fontId="9" fillId="0" borderId="0" xfId="0" applyNumberFormat="1" applyFont="1" applyBorder="1" applyAlignment="1">
      <alignment vertical="center"/>
    </xf>
    <xf numFmtId="3" fontId="9" fillId="0" borderId="11" xfId="0" applyNumberFormat="1" applyFont="1" applyBorder="1" applyAlignment="1">
      <alignment vertical="center"/>
    </xf>
    <xf numFmtId="0" fontId="78" fillId="28" borderId="10" xfId="0" applyFont="1" applyFill="1" applyBorder="1" applyAlignment="1">
      <alignment horizontal="left" vertical="center" wrapText="1"/>
    </xf>
    <xf numFmtId="0" fontId="78" fillId="28" borderId="13" xfId="0" applyFont="1" applyFill="1" applyBorder="1" applyAlignment="1">
      <alignment horizontal="left" vertical="center" wrapText="1"/>
    </xf>
    <xf numFmtId="3" fontId="9" fillId="0" borderId="13" xfId="0" applyNumberFormat="1" applyFont="1" applyBorder="1" applyAlignment="1">
      <alignment vertical="center"/>
    </xf>
    <xf numFmtId="3" fontId="9" fillId="0" borderId="14" xfId="0" applyNumberFormat="1" applyFont="1" applyBorder="1" applyAlignment="1">
      <alignment vertical="center"/>
    </xf>
    <xf numFmtId="3" fontId="9" fillId="0" borderId="15" xfId="0" applyNumberFormat="1" applyFont="1" applyBorder="1" applyAlignment="1">
      <alignment vertical="center"/>
    </xf>
    <xf numFmtId="0" fontId="77" fillId="0" borderId="0" xfId="0" applyFont="1" applyBorder="1" applyAlignment="1">
      <alignment vertical="center" wrapText="1"/>
    </xf>
    <xf numFmtId="3" fontId="5" fillId="0" borderId="0" xfId="0" applyNumberFormat="1" applyFont="1" applyAlignment="1">
      <alignment vertical="center"/>
    </xf>
    <xf numFmtId="0" fontId="20" fillId="0" borderId="1" xfId="0" applyFont="1" applyBorder="1" applyAlignment="1">
      <alignment horizontal="center" vertical="center"/>
    </xf>
    <xf numFmtId="0" fontId="20" fillId="0" borderId="0" xfId="0" applyFont="1" applyFill="1" applyBorder="1" applyAlignment="1">
      <alignment horizontal="center" vertical="center"/>
    </xf>
    <xf numFmtId="0" fontId="55" fillId="0" borderId="0" xfId="0" applyFont="1" applyFill="1" applyBorder="1" applyAlignment="1">
      <alignment vertical="center" wrapText="1"/>
    </xf>
    <xf numFmtId="3" fontId="45" fillId="0" borderId="1" xfId="0" applyNumberFormat="1" applyFont="1" applyBorder="1" applyAlignment="1">
      <alignment horizontal="right" vertical="center"/>
    </xf>
    <xf numFmtId="168" fontId="5" fillId="0" borderId="0" xfId="8" applyNumberFormat="1" applyFont="1" applyAlignment="1">
      <alignment horizontal="center" vertical="center"/>
    </xf>
    <xf numFmtId="168" fontId="5" fillId="0" borderId="0" xfId="8" applyNumberFormat="1" applyFont="1" applyAlignment="1">
      <alignment vertical="center"/>
    </xf>
    <xf numFmtId="0" fontId="5" fillId="0" borderId="0" xfId="0" applyFont="1" applyBorder="1" applyAlignment="1">
      <alignment horizontal="left" vertical="top" wrapText="1"/>
    </xf>
    <xf numFmtId="2" fontId="5" fillId="0" borderId="1" xfId="0" applyNumberFormat="1" applyFont="1" applyBorder="1" applyAlignment="1">
      <alignment horizontal="center" vertical="center"/>
    </xf>
    <xf numFmtId="7" fontId="5" fillId="0" borderId="1" xfId="0" applyNumberFormat="1" applyFont="1" applyBorder="1" applyAlignment="1">
      <alignment horizontal="center" vertical="center"/>
    </xf>
    <xf numFmtId="3" fontId="5" fillId="0" borderId="10" xfId="0" applyNumberFormat="1" applyFont="1" applyFill="1" applyBorder="1" applyAlignment="1">
      <alignment vertical="center"/>
    </xf>
    <xf numFmtId="170" fontId="5" fillId="0" borderId="10" xfId="0" applyNumberFormat="1" applyFont="1" applyBorder="1" applyAlignment="1">
      <alignment vertical="center"/>
    </xf>
    <xf numFmtId="170" fontId="5" fillId="0" borderId="0" xfId="0" applyNumberFormat="1" applyFont="1" applyBorder="1" applyAlignment="1">
      <alignment vertical="center"/>
    </xf>
    <xf numFmtId="3" fontId="9" fillId="0" borderId="0" xfId="0" applyNumberFormat="1" applyFont="1" applyFill="1" applyBorder="1" applyAlignment="1">
      <alignment vertical="center"/>
    </xf>
    <xf numFmtId="170" fontId="9" fillId="0" borderId="0" xfId="0" applyNumberFormat="1" applyFont="1" applyBorder="1" applyAlignment="1">
      <alignment vertical="center"/>
    </xf>
    <xf numFmtId="0" fontId="45" fillId="0" borderId="0" xfId="0" applyFont="1" applyFill="1" applyBorder="1" applyAlignment="1">
      <alignment horizontal="center" vertical="center"/>
    </xf>
    <xf numFmtId="0" fontId="45" fillId="0" borderId="1" xfId="0" applyFont="1" applyBorder="1"/>
    <xf numFmtId="191" fontId="5" fillId="0" borderId="1" xfId="0" applyNumberFormat="1" applyFont="1" applyBorder="1" applyAlignment="1">
      <alignment vertical="center"/>
    </xf>
    <xf numFmtId="3" fontId="20" fillId="0" borderId="43" xfId="1" applyNumberFormat="1" applyFont="1" applyBorder="1" applyAlignment="1">
      <alignment horizontal="right" vertical="center" wrapText="1"/>
    </xf>
    <xf numFmtId="184" fontId="5" fillId="0" borderId="1" xfId="0" applyNumberFormat="1" applyFont="1" applyBorder="1" applyAlignment="1">
      <alignment horizontal="center" vertical="center"/>
    </xf>
    <xf numFmtId="0" fontId="9" fillId="0" borderId="6"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8" xfId="0" applyFont="1" applyFill="1" applyBorder="1" applyAlignment="1">
      <alignment horizontal="center" vertical="center"/>
    </xf>
    <xf numFmtId="4" fontId="5" fillId="0" borderId="0" xfId="0" applyNumberFormat="1" applyFont="1" applyBorder="1" applyAlignment="1">
      <alignment vertical="center"/>
    </xf>
    <xf numFmtId="4" fontId="5" fillId="0" borderId="11" xfId="0" applyNumberFormat="1" applyFont="1" applyBorder="1" applyAlignment="1">
      <alignment vertical="center"/>
    </xf>
    <xf numFmtId="0" fontId="45" fillId="19" borderId="0" xfId="0" applyFont="1" applyFill="1" applyBorder="1" applyAlignment="1">
      <alignment vertical="center"/>
    </xf>
    <xf numFmtId="0" fontId="83" fillId="19" borderId="0" xfId="0" applyFont="1" applyFill="1" applyAlignment="1">
      <alignment vertical="center"/>
    </xf>
    <xf numFmtId="0" fontId="45" fillId="19" borderId="0" xfId="0" applyFont="1" applyFill="1" applyAlignment="1">
      <alignment vertical="center"/>
    </xf>
    <xf numFmtId="3" fontId="45" fillId="19" borderId="0" xfId="0" applyNumberFormat="1" applyFont="1" applyFill="1" applyAlignment="1">
      <alignment vertical="center"/>
    </xf>
    <xf numFmtId="0" fontId="83" fillId="0" borderId="0" xfId="0" applyFont="1" applyAlignment="1">
      <alignment vertical="center" wrapText="1"/>
    </xf>
    <xf numFmtId="0" fontId="45" fillId="19" borderId="0" xfId="0" applyFont="1" applyFill="1" applyAlignment="1">
      <alignment vertical="center" wrapText="1"/>
    </xf>
    <xf numFmtId="0" fontId="78" fillId="17" borderId="0" xfId="0" applyFont="1" applyFill="1" applyBorder="1" applyAlignment="1">
      <alignment vertical="top"/>
    </xf>
    <xf numFmtId="0" fontId="78" fillId="19" borderId="0" xfId="0" applyFont="1" applyFill="1" applyBorder="1" applyAlignment="1">
      <alignment vertical="top"/>
    </xf>
    <xf numFmtId="3" fontId="45" fillId="19" borderId="6" xfId="1" applyNumberFormat="1" applyFont="1" applyFill="1" applyBorder="1" applyAlignment="1">
      <alignment vertical="center" wrapText="1"/>
    </xf>
    <xf numFmtId="3" fontId="45" fillId="19" borderId="7" xfId="1" applyNumberFormat="1" applyFont="1" applyFill="1" applyBorder="1" applyAlignment="1">
      <alignment vertical="center" wrapText="1"/>
    </xf>
    <xf numFmtId="3" fontId="45" fillId="19" borderId="8" xfId="1" applyNumberFormat="1" applyFont="1" applyFill="1" applyBorder="1" applyAlignment="1">
      <alignment vertical="center" wrapText="1"/>
    </xf>
    <xf numFmtId="3" fontId="45" fillId="19" borderId="0" xfId="0" applyNumberFormat="1" applyFont="1" applyFill="1" applyAlignment="1">
      <alignment vertical="center" wrapText="1"/>
    </xf>
    <xf numFmtId="0" fontId="78" fillId="17" borderId="0" xfId="0" applyFont="1" applyFill="1" applyBorder="1" applyAlignment="1">
      <alignment horizontal="left" vertical="top" wrapText="1"/>
    </xf>
    <xf numFmtId="0" fontId="78" fillId="19" borderId="0" xfId="0" applyFont="1" applyFill="1" applyBorder="1" applyAlignment="1">
      <alignment horizontal="left" vertical="top" wrapText="1"/>
    </xf>
    <xf numFmtId="3" fontId="45" fillId="19" borderId="10" xfId="1" applyNumberFormat="1" applyFont="1" applyFill="1" applyBorder="1" applyAlignment="1">
      <alignment vertical="center" wrapText="1"/>
    </xf>
    <xf numFmtId="3" fontId="45" fillId="19" borderId="0" xfId="1" applyNumberFormat="1" applyFont="1" applyFill="1" applyBorder="1" applyAlignment="1">
      <alignment vertical="center" wrapText="1"/>
    </xf>
    <xf numFmtId="3" fontId="45" fillId="19" borderId="11" xfId="1" applyNumberFormat="1" applyFont="1" applyFill="1" applyBorder="1" applyAlignment="1">
      <alignment vertical="center" wrapText="1"/>
    </xf>
    <xf numFmtId="0" fontId="78" fillId="17" borderId="0" xfId="0" applyFont="1" applyFill="1" applyBorder="1"/>
    <xf numFmtId="0" fontId="78" fillId="19" borderId="0" xfId="0" applyFont="1" applyFill="1" applyBorder="1"/>
    <xf numFmtId="3" fontId="45" fillId="19" borderId="13" xfId="1" applyNumberFormat="1" applyFont="1" applyFill="1" applyBorder="1" applyAlignment="1">
      <alignment vertical="center" wrapText="1"/>
    </xf>
    <xf numFmtId="3" fontId="45" fillId="19" borderId="14" xfId="1" applyNumberFormat="1" applyFont="1" applyFill="1" applyBorder="1" applyAlignment="1">
      <alignment vertical="center" wrapText="1"/>
    </xf>
    <xf numFmtId="3" fontId="45" fillId="19" borderId="15" xfId="1" applyNumberFormat="1" applyFont="1" applyFill="1" applyBorder="1" applyAlignment="1">
      <alignment vertical="center" wrapText="1"/>
    </xf>
    <xf numFmtId="0" fontId="45" fillId="19" borderId="0" xfId="0" applyFont="1" applyFill="1" applyAlignment="1">
      <alignment horizontal="right" vertical="center"/>
    </xf>
    <xf numFmtId="0" fontId="77" fillId="19" borderId="0" xfId="0" applyFont="1" applyFill="1" applyAlignment="1">
      <alignment horizontal="center" wrapText="1"/>
    </xf>
    <xf numFmtId="0" fontId="20" fillId="19" borderId="0" xfId="0" applyFont="1" applyFill="1" applyAlignment="1">
      <alignment horizontal="center" wrapText="1"/>
    </xf>
    <xf numFmtId="3" fontId="45" fillId="19" borderId="0" xfId="1" applyNumberFormat="1" applyFont="1" applyFill="1" applyAlignment="1">
      <alignment vertical="center" wrapText="1"/>
    </xf>
    <xf numFmtId="164" fontId="45" fillId="19" borderId="0" xfId="0" applyNumberFormat="1" applyFont="1" applyFill="1" applyAlignment="1">
      <alignment vertical="center"/>
    </xf>
    <xf numFmtId="0" fontId="85" fillId="18" borderId="0" xfId="0" applyFont="1" applyFill="1" applyAlignment="1"/>
    <xf numFmtId="0" fontId="86" fillId="18" borderId="0" xfId="0" applyFont="1" applyFill="1" applyAlignment="1"/>
    <xf numFmtId="0" fontId="87" fillId="19" borderId="0" xfId="0" applyFont="1" applyFill="1" applyAlignment="1"/>
    <xf numFmtId="0" fontId="20" fillId="19" borderId="0" xfId="0" applyFont="1" applyFill="1" applyBorder="1" applyAlignment="1">
      <alignment horizontal="center" vertical="center" wrapText="1"/>
    </xf>
    <xf numFmtId="0" fontId="45" fillId="19" borderId="0" xfId="0" applyFont="1" applyFill="1" applyBorder="1" applyAlignment="1">
      <alignment horizontal="center"/>
    </xf>
    <xf numFmtId="181" fontId="45" fillId="19" borderId="0" xfId="1" applyNumberFormat="1" applyFont="1" applyFill="1" applyBorder="1" applyAlignment="1">
      <alignment vertical="center"/>
    </xf>
    <xf numFmtId="0" fontId="78" fillId="19" borderId="0" xfId="0" applyFont="1" applyFill="1" applyAlignment="1"/>
    <xf numFmtId="0" fontId="87" fillId="19" borderId="0" xfId="0" applyFont="1" applyFill="1" applyBorder="1" applyAlignment="1"/>
    <xf numFmtId="0" fontId="77" fillId="19" borderId="0" xfId="0" applyFont="1" applyFill="1" applyBorder="1" applyAlignment="1">
      <alignment horizontal="center" vertical="center" wrapText="1"/>
    </xf>
    <xf numFmtId="0" fontId="89" fillId="19" borderId="0" xfId="0" applyFont="1" applyFill="1" applyBorder="1" applyAlignment="1">
      <alignment vertical="center"/>
    </xf>
    <xf numFmtId="0" fontId="89" fillId="19" borderId="0" xfId="0" applyFont="1" applyFill="1" applyAlignment="1">
      <alignment vertical="center"/>
    </xf>
    <xf numFmtId="0" fontId="17" fillId="19" borderId="0" xfId="0" applyFont="1" applyFill="1" applyAlignment="1">
      <alignment vertical="center"/>
    </xf>
    <xf numFmtId="2" fontId="89" fillId="19" borderId="0" xfId="0" applyNumberFormat="1" applyFont="1" applyFill="1" applyAlignment="1">
      <alignment vertical="center"/>
    </xf>
    <xf numFmtId="0" fontId="78" fillId="19" borderId="0" xfId="0" applyFont="1" applyFill="1" applyAlignment="1">
      <alignment horizontal="left"/>
    </xf>
    <xf numFmtId="0" fontId="87" fillId="19" borderId="0" xfId="0" applyFont="1" applyFill="1" applyAlignment="1">
      <alignment horizontal="left"/>
    </xf>
    <xf numFmtId="164" fontId="83" fillId="19" borderId="0" xfId="0" applyNumberFormat="1" applyFont="1" applyFill="1" applyAlignment="1">
      <alignment vertical="center"/>
    </xf>
    <xf numFmtId="189" fontId="45" fillId="19" borderId="0" xfId="0" applyNumberFormat="1" applyFont="1" applyFill="1" applyBorder="1" applyAlignment="1">
      <alignment horizontal="center" vertical="center"/>
    </xf>
    <xf numFmtId="0" fontId="78" fillId="17" borderId="13" xfId="0" applyFont="1" applyFill="1" applyBorder="1" applyAlignment="1">
      <alignment horizontal="left" vertical="center" wrapText="1"/>
    </xf>
    <xf numFmtId="0" fontId="78" fillId="17" borderId="10" xfId="0" applyFont="1" applyFill="1" applyBorder="1" applyAlignment="1">
      <alignment horizontal="left" vertical="center" wrapText="1"/>
    </xf>
    <xf numFmtId="0" fontId="83" fillId="19" borderId="0" xfId="0" applyFont="1" applyFill="1" applyBorder="1" applyAlignment="1">
      <alignment vertical="center"/>
    </xf>
    <xf numFmtId="0" fontId="77" fillId="19" borderId="0" xfId="0" applyFont="1" applyFill="1" applyBorder="1" applyAlignment="1">
      <alignment vertical="center" wrapText="1"/>
    </xf>
    <xf numFmtId="37" fontId="45" fillId="19" borderId="14" xfId="0" applyNumberFormat="1" applyFont="1" applyFill="1" applyBorder="1" applyAlignment="1">
      <alignment horizontal="center" vertical="center"/>
    </xf>
    <xf numFmtId="37" fontId="45" fillId="19" borderId="15" xfId="0" applyNumberFormat="1" applyFont="1" applyFill="1" applyBorder="1" applyAlignment="1">
      <alignment horizontal="center" vertical="center"/>
    </xf>
    <xf numFmtId="0" fontId="45" fillId="19" borderId="0" xfId="0" applyFont="1" applyFill="1" applyBorder="1" applyAlignment="1">
      <alignment vertical="top"/>
    </xf>
    <xf numFmtId="0" fontId="85" fillId="18" borderId="0" xfId="0" applyFont="1" applyFill="1" applyAlignment="1">
      <alignment vertical="top"/>
    </xf>
    <xf numFmtId="0" fontId="86" fillId="18" borderId="0" xfId="0" applyFont="1" applyFill="1" applyAlignment="1">
      <alignment vertical="top"/>
    </xf>
    <xf numFmtId="0" fontId="45" fillId="19" borderId="0" xfId="0" applyFont="1" applyFill="1" applyAlignment="1">
      <alignment vertical="top"/>
    </xf>
    <xf numFmtId="0" fontId="78" fillId="19" borderId="0" xfId="0" applyFont="1" applyFill="1" applyAlignment="1">
      <alignment horizontal="left" vertical="top"/>
    </xf>
    <xf numFmtId="0" fontId="87" fillId="19" borderId="0" xfId="0" applyFont="1" applyFill="1" applyAlignment="1">
      <alignment horizontal="left" vertical="top"/>
    </xf>
    <xf numFmtId="0" fontId="45" fillId="19" borderId="0" xfId="0" quotePrefix="1" applyFont="1" applyFill="1" applyAlignment="1">
      <alignment horizontal="center" vertical="top"/>
    </xf>
    <xf numFmtId="0" fontId="89" fillId="19" borderId="0" xfId="0" applyFont="1" applyFill="1" applyAlignment="1">
      <alignment vertical="top"/>
    </xf>
    <xf numFmtId="0" fontId="87" fillId="19" borderId="0" xfId="0" applyFont="1" applyFill="1" applyBorder="1" applyAlignment="1">
      <alignment horizontal="left" vertical="top"/>
    </xf>
    <xf numFmtId="0" fontId="77" fillId="19" borderId="0" xfId="0" applyFont="1" applyFill="1" applyBorder="1" applyAlignment="1">
      <alignment horizontal="center" vertical="top" wrapText="1"/>
    </xf>
    <xf numFmtId="0" fontId="20" fillId="19" borderId="0" xfId="0" applyFont="1" applyFill="1" applyBorder="1" applyAlignment="1">
      <alignment horizontal="center" vertical="top" wrapText="1"/>
    </xf>
    <xf numFmtId="0" fontId="45" fillId="19" borderId="0" xfId="0" applyFont="1" applyFill="1" applyBorder="1" applyAlignment="1">
      <alignment horizontal="center" vertical="top"/>
    </xf>
    <xf numFmtId="166" fontId="45" fillId="19" borderId="0" xfId="1" applyNumberFormat="1" applyFont="1" applyFill="1" applyBorder="1" applyAlignment="1">
      <alignment vertical="top"/>
    </xf>
    <xf numFmtId="0" fontId="83" fillId="19" borderId="0" xfId="0" applyFont="1" applyFill="1" applyAlignment="1">
      <alignment vertical="top"/>
    </xf>
    <xf numFmtId="164" fontId="45" fillId="19" borderId="0" xfId="0" applyNumberFormat="1" applyFont="1" applyFill="1" applyAlignment="1">
      <alignment vertical="top"/>
    </xf>
    <xf numFmtId="0" fontId="87" fillId="19" borderId="0" xfId="0" applyFont="1" applyFill="1" applyBorder="1" applyAlignment="1">
      <alignment vertical="top"/>
    </xf>
    <xf numFmtId="0" fontId="77" fillId="19" borderId="0" xfId="0" applyFont="1" applyFill="1" applyBorder="1" applyAlignment="1">
      <alignment vertical="top" wrapText="1"/>
    </xf>
    <xf numFmtId="164" fontId="83" fillId="19" borderId="0" xfId="0" applyNumberFormat="1" applyFont="1" applyFill="1" applyAlignment="1">
      <alignment vertical="top"/>
    </xf>
    <xf numFmtId="0" fontId="78" fillId="17" borderId="6" xfId="0" applyFont="1" applyFill="1" applyBorder="1" applyAlignment="1">
      <alignment vertical="center" wrapText="1"/>
    </xf>
    <xf numFmtId="166" fontId="45" fillId="19" borderId="0" xfId="0" applyNumberFormat="1" applyFont="1" applyFill="1" applyBorder="1" applyAlignment="1">
      <alignment vertical="center"/>
    </xf>
    <xf numFmtId="0" fontId="78" fillId="17" borderId="10" xfId="0" applyFont="1" applyFill="1" applyBorder="1" applyAlignment="1">
      <alignment vertical="center" wrapText="1"/>
    </xf>
    <xf numFmtId="0" fontId="78" fillId="17" borderId="13" xfId="0" applyFont="1" applyFill="1" applyBorder="1" applyAlignment="1">
      <alignment vertical="center" wrapText="1"/>
    </xf>
    <xf numFmtId="0" fontId="78" fillId="19" borderId="0" xfId="0" applyFont="1" applyFill="1" applyBorder="1" applyAlignment="1">
      <alignment horizontal="left" vertical="center" wrapText="1"/>
    </xf>
    <xf numFmtId="0" fontId="78" fillId="26" borderId="6" xfId="0" applyFont="1" applyFill="1" applyBorder="1" applyAlignment="1">
      <alignment vertical="center" wrapText="1"/>
    </xf>
    <xf numFmtId="0" fontId="78" fillId="26" borderId="10" xfId="0" applyFont="1" applyFill="1" applyBorder="1" applyAlignment="1">
      <alignment vertical="center" wrapText="1"/>
    </xf>
    <xf numFmtId="0" fontId="78" fillId="26" borderId="13" xfId="0" applyFont="1" applyFill="1" applyBorder="1" applyAlignment="1">
      <alignment vertical="center" wrapText="1"/>
    </xf>
    <xf numFmtId="166" fontId="45" fillId="19" borderId="0" xfId="0" applyNumberFormat="1" applyFont="1" applyFill="1" applyBorder="1" applyAlignment="1">
      <alignment horizontal="right" vertical="center"/>
    </xf>
    <xf numFmtId="0" fontId="78" fillId="19" borderId="0" xfId="0" applyFont="1" applyFill="1" applyBorder="1" applyAlignment="1">
      <alignment horizontal="left"/>
    </xf>
    <xf numFmtId="0" fontId="87" fillId="19" borderId="0" xfId="0" applyFont="1" applyFill="1" applyBorder="1" applyAlignment="1">
      <alignment horizontal="left"/>
    </xf>
    <xf numFmtId="0" fontId="45" fillId="19" borderId="0" xfId="0" applyFont="1" applyFill="1" applyBorder="1" applyAlignment="1">
      <alignment vertical="center" wrapText="1"/>
    </xf>
    <xf numFmtId="0" fontId="78" fillId="26" borderId="6" xfId="0" applyFont="1" applyFill="1" applyBorder="1" applyAlignment="1">
      <alignment horizontal="left" vertical="center" wrapText="1"/>
    </xf>
    <xf numFmtId="3" fontId="45" fillId="19" borderId="7" xfId="0" applyNumberFormat="1" applyFont="1" applyFill="1" applyBorder="1" applyAlignment="1">
      <alignment vertical="center"/>
    </xf>
    <xf numFmtId="3" fontId="45" fillId="19" borderId="0" xfId="0" applyNumberFormat="1" applyFont="1" applyFill="1" applyBorder="1" applyAlignment="1">
      <alignment vertical="center"/>
    </xf>
    <xf numFmtId="0" fontId="78" fillId="26" borderId="13" xfId="0" applyFont="1" applyFill="1" applyBorder="1" applyAlignment="1">
      <alignment horizontal="left" vertical="center" wrapText="1"/>
    </xf>
    <xf numFmtId="3" fontId="45" fillId="19" borderId="14" xfId="0" applyNumberFormat="1" applyFont="1" applyFill="1" applyBorder="1" applyAlignment="1">
      <alignment vertical="center"/>
    </xf>
    <xf numFmtId="0" fontId="77" fillId="19" borderId="0" xfId="0" applyFont="1" applyFill="1" applyAlignment="1">
      <alignment horizontal="left"/>
    </xf>
    <xf numFmtId="0" fontId="77" fillId="32" borderId="17" xfId="0" applyFont="1" applyFill="1" applyBorder="1" applyAlignment="1">
      <alignment vertical="center"/>
    </xf>
    <xf numFmtId="0" fontId="20" fillId="32" borderId="18" xfId="0" applyFont="1" applyFill="1" applyBorder="1" applyAlignment="1">
      <alignment vertical="center"/>
    </xf>
    <xf numFmtId="0" fontId="77" fillId="32" borderId="18" xfId="0" applyFont="1" applyFill="1" applyBorder="1" applyAlignment="1">
      <alignment vertical="center"/>
    </xf>
    <xf numFmtId="7" fontId="77" fillId="32" borderId="19" xfId="0" applyNumberFormat="1" applyFont="1" applyFill="1" applyBorder="1" applyAlignment="1">
      <alignment vertical="center"/>
    </xf>
    <xf numFmtId="5" fontId="45" fillId="19" borderId="0" xfId="0" applyNumberFormat="1" applyFont="1" applyFill="1" applyBorder="1" applyAlignment="1">
      <alignment vertical="center"/>
    </xf>
    <xf numFmtId="0" fontId="5" fillId="0" borderId="0" xfId="0" applyFont="1" applyBorder="1" applyAlignment="1">
      <alignment vertical="center" wrapText="1"/>
    </xf>
    <xf numFmtId="0" fontId="20" fillId="19" borderId="0" xfId="0" applyFont="1" applyFill="1" applyAlignment="1">
      <alignment vertical="center"/>
    </xf>
    <xf numFmtId="5" fontId="45" fillId="19" borderId="0" xfId="0" applyNumberFormat="1" applyFont="1" applyFill="1" applyAlignment="1">
      <alignment vertical="center"/>
    </xf>
    <xf numFmtId="0" fontId="78" fillId="28" borderId="0" xfId="0" applyFont="1" applyFill="1" applyBorder="1" applyAlignment="1">
      <alignment horizontal="left" vertical="center" wrapText="1"/>
    </xf>
    <xf numFmtId="0" fontId="45" fillId="9" borderId="6" xfId="0" applyFont="1" applyFill="1" applyBorder="1" applyAlignment="1">
      <alignment horizontal="center"/>
    </xf>
    <xf numFmtId="170" fontId="45" fillId="19" borderId="6" xfId="0" applyNumberFormat="1" applyFont="1" applyFill="1" applyBorder="1" applyAlignment="1">
      <alignment vertical="center"/>
    </xf>
    <xf numFmtId="170" fontId="45" fillId="19" borderId="7" xfId="0" applyNumberFormat="1" applyFont="1" applyFill="1" applyBorder="1" applyAlignment="1">
      <alignment vertical="center"/>
    </xf>
    <xf numFmtId="170" fontId="45" fillId="19" borderId="0" xfId="0" applyNumberFormat="1" applyFont="1" applyFill="1" applyBorder="1" applyAlignment="1">
      <alignment vertical="center"/>
    </xf>
    <xf numFmtId="170" fontId="45" fillId="19" borderId="11" xfId="0" applyNumberFormat="1" applyFont="1" applyFill="1" applyBorder="1" applyAlignment="1">
      <alignment vertical="center"/>
    </xf>
    <xf numFmtId="0" fontId="78" fillId="28" borderId="0" xfId="0" applyFont="1" applyFill="1" applyBorder="1" applyAlignment="1">
      <alignment horizontal="left" vertical="top" wrapText="1"/>
    </xf>
    <xf numFmtId="0" fontId="45" fillId="9" borderId="10" xfId="0" applyFont="1" applyFill="1" applyBorder="1" applyAlignment="1">
      <alignment horizontal="center"/>
    </xf>
    <xf numFmtId="170" fontId="45" fillId="19" borderId="10" xfId="0" applyNumberFormat="1" applyFont="1" applyFill="1" applyBorder="1" applyAlignment="1">
      <alignment vertical="center"/>
    </xf>
    <xf numFmtId="0" fontId="45" fillId="9" borderId="13" xfId="0" applyFont="1" applyFill="1" applyBorder="1" applyAlignment="1">
      <alignment horizontal="center"/>
    </xf>
    <xf numFmtId="170" fontId="45" fillId="19" borderId="13" xfId="0" applyNumberFormat="1" applyFont="1" applyFill="1" applyBorder="1" applyAlignment="1">
      <alignment vertical="center"/>
    </xf>
    <xf numFmtId="170" fontId="45" fillId="19" borderId="14" xfId="0" applyNumberFormat="1" applyFont="1" applyFill="1" applyBorder="1" applyAlignment="1">
      <alignment vertical="center"/>
    </xf>
    <xf numFmtId="170" fontId="45" fillId="19" borderId="15" xfId="0" applyNumberFormat="1" applyFont="1" applyFill="1" applyBorder="1" applyAlignment="1">
      <alignment vertical="center"/>
    </xf>
    <xf numFmtId="0" fontId="45" fillId="9" borderId="9" xfId="0" applyFont="1" applyFill="1" applyBorder="1" applyAlignment="1">
      <alignment horizontal="center"/>
    </xf>
    <xf numFmtId="0" fontId="45" fillId="9" borderId="12" xfId="0" applyFont="1" applyFill="1" applyBorder="1" applyAlignment="1">
      <alignment horizontal="center"/>
    </xf>
    <xf numFmtId="0" fontId="45" fillId="9" borderId="16" xfId="0" applyFont="1" applyFill="1" applyBorder="1" applyAlignment="1">
      <alignment horizontal="center"/>
    </xf>
    <xf numFmtId="0" fontId="83" fillId="0" borderId="0" xfId="0" applyFont="1" applyBorder="1" applyAlignment="1">
      <alignment vertical="center"/>
    </xf>
    <xf numFmtId="0" fontId="45" fillId="19" borderId="6" xfId="0" applyFont="1" applyFill="1" applyBorder="1" applyAlignment="1">
      <alignment vertical="center"/>
    </xf>
    <xf numFmtId="0" fontId="45" fillId="19" borderId="7" xfId="0" applyFont="1" applyFill="1" applyBorder="1" applyAlignment="1">
      <alignment vertical="center"/>
    </xf>
    <xf numFmtId="0" fontId="45" fillId="19" borderId="8" xfId="0" applyFont="1" applyFill="1" applyBorder="1" applyAlignment="1">
      <alignment vertical="center"/>
    </xf>
    <xf numFmtId="0" fontId="45" fillId="19" borderId="10" xfId="0" applyFont="1" applyFill="1" applyBorder="1" applyAlignment="1">
      <alignment vertical="center"/>
    </xf>
    <xf numFmtId="0" fontId="79" fillId="19" borderId="11" xfId="0" applyFont="1" applyFill="1" applyBorder="1" applyAlignment="1">
      <alignment horizontal="left" vertical="center"/>
    </xf>
    <xf numFmtId="0" fontId="8" fillId="19" borderId="1" xfId="0" applyFont="1" applyFill="1" applyBorder="1" applyAlignment="1">
      <alignment horizontal="center" vertical="center"/>
    </xf>
    <xf numFmtId="0" fontId="45" fillId="19" borderId="11" xfId="0" applyFont="1" applyFill="1" applyBorder="1" applyAlignment="1">
      <alignment vertical="center"/>
    </xf>
    <xf numFmtId="0" fontId="20" fillId="19" borderId="1" xfId="0" applyFont="1" applyFill="1" applyBorder="1" applyAlignment="1">
      <alignment horizontal="center" vertical="center"/>
    </xf>
    <xf numFmtId="0" fontId="55" fillId="23" borderId="1" xfId="0" applyFont="1" applyFill="1" applyBorder="1" applyAlignment="1">
      <alignment vertical="center" wrapText="1"/>
    </xf>
    <xf numFmtId="0" fontId="20" fillId="19" borderId="1" xfId="0" applyFont="1" applyFill="1" applyBorder="1" applyAlignment="1">
      <alignment horizontal="center" vertical="center" wrapText="1"/>
    </xf>
    <xf numFmtId="170" fontId="45" fillId="19" borderId="1" xfId="1" applyNumberFormat="1" applyFont="1" applyFill="1" applyBorder="1" applyAlignment="1">
      <alignment horizontal="right" vertical="center" wrapText="1"/>
    </xf>
    <xf numFmtId="170" fontId="20" fillId="19" borderId="1" xfId="1" applyNumberFormat="1" applyFont="1" applyFill="1" applyBorder="1" applyAlignment="1">
      <alignment horizontal="right" vertical="center" wrapText="1"/>
    </xf>
    <xf numFmtId="0" fontId="80" fillId="19" borderId="0" xfId="0" applyFont="1" applyFill="1" applyBorder="1" applyAlignment="1">
      <alignment vertical="center"/>
    </xf>
    <xf numFmtId="0" fontId="45" fillId="19" borderId="13" xfId="0" applyFont="1" applyFill="1" applyBorder="1" applyAlignment="1">
      <alignment vertical="center"/>
    </xf>
    <xf numFmtId="0" fontId="45" fillId="19" borderId="14" xfId="0" applyFont="1" applyFill="1" applyBorder="1" applyAlignment="1">
      <alignment vertical="center"/>
    </xf>
    <xf numFmtId="0" fontId="45" fillId="19" borderId="15" xfId="0" applyFont="1" applyFill="1" applyBorder="1" applyAlignment="1">
      <alignment vertical="center"/>
    </xf>
    <xf numFmtId="0" fontId="83" fillId="0" borderId="0" xfId="0" applyFont="1" applyAlignment="1">
      <alignment vertical="center"/>
    </xf>
    <xf numFmtId="172" fontId="45" fillId="19" borderId="0" xfId="1" applyNumberFormat="1" applyFont="1" applyFill="1" applyBorder="1" applyAlignment="1">
      <alignment vertical="center" wrapText="1"/>
    </xf>
    <xf numFmtId="0" fontId="20" fillId="23" borderId="20" xfId="0" applyFont="1" applyFill="1" applyBorder="1" applyAlignment="1">
      <alignment horizontal="center" vertical="center" wrapText="1"/>
    </xf>
    <xf numFmtId="43" fontId="45" fillId="19" borderId="0" xfId="1" applyNumberFormat="1" applyFont="1" applyFill="1" applyBorder="1" applyAlignment="1">
      <alignment vertical="center"/>
    </xf>
    <xf numFmtId="43" fontId="45" fillId="19" borderId="14" xfId="1" applyNumberFormat="1" applyFont="1" applyFill="1" applyBorder="1" applyAlignment="1">
      <alignment vertical="center"/>
    </xf>
    <xf numFmtId="166" fontId="89" fillId="19" borderId="0" xfId="1" applyNumberFormat="1" applyFont="1" applyFill="1" applyAlignment="1">
      <alignment vertical="center"/>
    </xf>
    <xf numFmtId="0" fontId="20" fillId="23" borderId="17" xfId="0" applyFont="1" applyFill="1" applyBorder="1" applyAlignment="1">
      <alignment horizontal="center" vertical="center" wrapText="1"/>
    </xf>
    <xf numFmtId="37" fontId="45" fillId="19" borderId="0" xfId="0" applyNumberFormat="1" applyFont="1" applyFill="1" applyBorder="1" applyAlignment="1">
      <alignment horizontal="center" vertical="center"/>
    </xf>
    <xf numFmtId="3" fontId="45" fillId="19" borderId="6" xfId="0" applyNumberFormat="1" applyFont="1" applyFill="1" applyBorder="1" applyAlignment="1">
      <alignment vertical="center"/>
    </xf>
    <xf numFmtId="3" fontId="45" fillId="19" borderId="8" xfId="0" applyNumberFormat="1" applyFont="1" applyFill="1" applyBorder="1" applyAlignment="1">
      <alignment vertical="center"/>
    </xf>
    <xf numFmtId="3" fontId="45" fillId="19" borderId="10" xfId="0" applyNumberFormat="1" applyFont="1" applyFill="1" applyBorder="1" applyAlignment="1">
      <alignment vertical="center"/>
    </xf>
    <xf numFmtId="3" fontId="45" fillId="19" borderId="11" xfId="0" applyNumberFormat="1" applyFont="1" applyFill="1" applyBorder="1" applyAlignment="1">
      <alignment vertical="center"/>
    </xf>
    <xf numFmtId="3" fontId="45" fillId="19" borderId="13" xfId="0" applyNumberFormat="1" applyFont="1" applyFill="1" applyBorder="1" applyAlignment="1">
      <alignment vertical="center"/>
    </xf>
    <xf numFmtId="3" fontId="45" fillId="19" borderId="15" xfId="0" applyNumberFormat="1" applyFont="1" applyFill="1" applyBorder="1" applyAlignment="1">
      <alignment vertical="center"/>
    </xf>
    <xf numFmtId="0" fontId="77" fillId="7" borderId="17" xfId="0" applyFont="1" applyFill="1" applyBorder="1" applyAlignment="1">
      <alignment vertical="center"/>
    </xf>
    <xf numFmtId="0" fontId="45" fillId="7" borderId="18" xfId="0" applyFont="1" applyFill="1" applyBorder="1" applyAlignment="1">
      <alignment vertical="center"/>
    </xf>
    <xf numFmtId="5" fontId="45" fillId="7" borderId="18" xfId="0" applyNumberFormat="1" applyFont="1" applyFill="1" applyBorder="1" applyAlignment="1">
      <alignment vertical="center"/>
    </xf>
    <xf numFmtId="0" fontId="5" fillId="19" borderId="0" xfId="0" applyFont="1" applyFill="1" applyBorder="1" applyAlignment="1">
      <alignment horizontal="left" vertical="center" wrapText="1"/>
    </xf>
    <xf numFmtId="170" fontId="45" fillId="19" borderId="8" xfId="0" applyNumberFormat="1" applyFont="1" applyFill="1" applyBorder="1" applyAlignment="1">
      <alignment vertical="center"/>
    </xf>
    <xf numFmtId="0" fontId="20" fillId="23" borderId="20" xfId="0" applyFont="1" applyFill="1" applyBorder="1" applyAlignment="1">
      <alignment horizontal="center" vertical="top" wrapText="1"/>
    </xf>
    <xf numFmtId="0" fontId="45" fillId="9" borderId="12" xfId="0" applyFont="1" applyFill="1" applyBorder="1" applyAlignment="1">
      <alignment horizontal="center" vertical="top"/>
    </xf>
    <xf numFmtId="2" fontId="45" fillId="19" borderId="0" xfId="0" applyNumberFormat="1" applyFont="1" applyFill="1" applyBorder="1" applyAlignment="1">
      <alignment vertical="top"/>
    </xf>
    <xf numFmtId="2" fontId="45" fillId="19" borderId="11" xfId="0" applyNumberFormat="1" applyFont="1" applyFill="1" applyBorder="1" applyAlignment="1">
      <alignment vertical="top"/>
    </xf>
    <xf numFmtId="0" fontId="45" fillId="9" borderId="16" xfId="0" applyFont="1" applyFill="1" applyBorder="1" applyAlignment="1">
      <alignment horizontal="center" vertical="top"/>
    </xf>
    <xf numFmtId="2" fontId="45" fillId="19" borderId="14" xfId="0" applyNumberFormat="1" applyFont="1" applyFill="1" applyBorder="1" applyAlignment="1">
      <alignment vertical="top"/>
    </xf>
    <xf numFmtId="0" fontId="87" fillId="19" borderId="0" xfId="0" applyFont="1" applyFill="1" applyAlignment="1">
      <alignment vertical="top"/>
    </xf>
    <xf numFmtId="0" fontId="45" fillId="9" borderId="10" xfId="0" applyFont="1" applyFill="1" applyBorder="1" applyAlignment="1">
      <alignment horizontal="center" vertical="top"/>
    </xf>
    <xf numFmtId="2" fontId="45" fillId="19" borderId="7" xfId="0" applyNumberFormat="1" applyFont="1" applyFill="1" applyBorder="1" applyAlignment="1">
      <alignment vertical="top"/>
    </xf>
    <xf numFmtId="2" fontId="45" fillId="19" borderId="8" xfId="0" applyNumberFormat="1" applyFont="1" applyFill="1" applyBorder="1" applyAlignment="1">
      <alignment vertical="top"/>
    </xf>
    <xf numFmtId="0" fontId="45" fillId="9" borderId="13" xfId="0" applyFont="1" applyFill="1" applyBorder="1" applyAlignment="1">
      <alignment horizontal="center" vertical="top"/>
    </xf>
    <xf numFmtId="167" fontId="89" fillId="19" borderId="0" xfId="1" applyNumberFormat="1" applyFont="1" applyFill="1" applyAlignment="1">
      <alignment vertical="top"/>
    </xf>
    <xf numFmtId="0" fontId="96" fillId="17" borderId="6" xfId="0" applyFont="1" applyFill="1" applyBorder="1" applyAlignment="1">
      <alignment vertical="center" wrapText="1"/>
    </xf>
    <xf numFmtId="43" fontId="45" fillId="19" borderId="7" xfId="0" applyNumberFormat="1" applyFont="1" applyFill="1" applyBorder="1" applyAlignment="1">
      <alignment vertical="center"/>
    </xf>
    <xf numFmtId="43" fontId="45" fillId="19" borderId="8" xfId="0" applyNumberFormat="1" applyFont="1" applyFill="1" applyBorder="1" applyAlignment="1">
      <alignment vertical="center"/>
    </xf>
    <xf numFmtId="0" fontId="96" fillId="17" borderId="10" xfId="0" applyFont="1" applyFill="1" applyBorder="1" applyAlignment="1">
      <alignment vertical="center" wrapText="1"/>
    </xf>
    <xf numFmtId="43" fontId="45" fillId="19" borderId="0" xfId="0" applyNumberFormat="1" applyFont="1" applyFill="1" applyBorder="1" applyAlignment="1">
      <alignment vertical="center"/>
    </xf>
    <xf numFmtId="43" fontId="45" fillId="19" borderId="11" xfId="0" applyNumberFormat="1" applyFont="1" applyFill="1" applyBorder="1" applyAlignment="1">
      <alignment vertical="center"/>
    </xf>
    <xf numFmtId="0" fontId="96" fillId="17" borderId="13" xfId="0" applyFont="1" applyFill="1" applyBorder="1" applyAlignment="1">
      <alignment vertical="center" wrapText="1"/>
    </xf>
    <xf numFmtId="43" fontId="45" fillId="19" borderId="14" xfId="0" applyNumberFormat="1" applyFont="1" applyFill="1" applyBorder="1" applyAlignment="1">
      <alignment vertical="center"/>
    </xf>
    <xf numFmtId="43" fontId="45" fillId="19" borderId="15" xfId="0" applyNumberFormat="1" applyFont="1" applyFill="1" applyBorder="1" applyAlignment="1">
      <alignment vertical="center"/>
    </xf>
    <xf numFmtId="0" fontId="96" fillId="19" borderId="0" xfId="0" applyFont="1" applyFill="1" applyBorder="1" applyAlignment="1">
      <alignment horizontal="left" vertical="center" wrapText="1"/>
    </xf>
    <xf numFmtId="0" fontId="96" fillId="26" borderId="6" xfId="0" applyFont="1" applyFill="1" applyBorder="1" applyAlignment="1">
      <alignment vertical="center" wrapText="1"/>
    </xf>
    <xf numFmtId="0" fontId="96" fillId="26" borderId="10" xfId="0" applyFont="1" applyFill="1" applyBorder="1" applyAlignment="1">
      <alignment vertical="center" wrapText="1"/>
    </xf>
    <xf numFmtId="0" fontId="96" fillId="26" borderId="13" xfId="0" applyFont="1" applyFill="1" applyBorder="1" applyAlignment="1">
      <alignment vertical="center" wrapText="1"/>
    </xf>
    <xf numFmtId="0" fontId="96" fillId="26" borderId="6" xfId="0" applyFont="1" applyFill="1" applyBorder="1" applyAlignment="1">
      <alignment horizontal="left" vertical="center" wrapText="1"/>
    </xf>
    <xf numFmtId="4" fontId="45" fillId="19" borderId="6" xfId="0" applyNumberFormat="1" applyFont="1" applyFill="1" applyBorder="1" applyAlignment="1">
      <alignment vertical="center"/>
    </xf>
    <xf numFmtId="4" fontId="45" fillId="19" borderId="7" xfId="0" applyNumberFormat="1" applyFont="1" applyFill="1" applyBorder="1" applyAlignment="1">
      <alignment vertical="center"/>
    </xf>
    <xf numFmtId="0" fontId="96" fillId="26" borderId="10" xfId="0" applyFont="1" applyFill="1" applyBorder="1" applyAlignment="1">
      <alignment horizontal="left" vertical="center" wrapText="1"/>
    </xf>
    <xf numFmtId="4" fontId="45" fillId="19" borderId="10" xfId="0" applyNumberFormat="1" applyFont="1" applyFill="1" applyBorder="1" applyAlignment="1">
      <alignment vertical="center"/>
    </xf>
    <xf numFmtId="4" fontId="45" fillId="19" borderId="0" xfId="0" applyNumberFormat="1" applyFont="1" applyFill="1" applyBorder="1" applyAlignment="1">
      <alignment vertical="center"/>
    </xf>
    <xf numFmtId="0" fontId="96" fillId="26" borderId="13" xfId="0" applyFont="1" applyFill="1" applyBorder="1" applyAlignment="1">
      <alignment horizontal="left" vertical="center" wrapText="1"/>
    </xf>
    <xf numFmtId="4" fontId="45" fillId="19" borderId="13" xfId="0" applyNumberFormat="1" applyFont="1" applyFill="1" applyBorder="1" applyAlignment="1">
      <alignment vertical="center"/>
    </xf>
    <xf numFmtId="4" fontId="45" fillId="19" borderId="14" xfId="0" applyNumberFormat="1" applyFont="1" applyFill="1" applyBorder="1" applyAlignment="1">
      <alignment vertical="center"/>
    </xf>
    <xf numFmtId="0" fontId="87" fillId="18" borderId="0" xfId="0" applyFont="1" applyFill="1" applyAlignment="1">
      <alignment vertical="center"/>
    </xf>
    <xf numFmtId="5" fontId="77" fillId="32" borderId="19" xfId="0" applyNumberFormat="1" applyFont="1" applyFill="1" applyBorder="1" applyAlignment="1">
      <alignment vertical="center"/>
    </xf>
    <xf numFmtId="0" fontId="5" fillId="19" borderId="0" xfId="0" applyFont="1" applyFill="1" applyBorder="1" applyAlignment="1">
      <alignment vertical="center" wrapText="1"/>
    </xf>
    <xf numFmtId="2" fontId="45" fillId="19" borderId="7" xfId="0" applyNumberFormat="1" applyFont="1" applyFill="1" applyBorder="1" applyAlignment="1">
      <alignment vertical="center"/>
    </xf>
    <xf numFmtId="2" fontId="45" fillId="19" borderId="8" xfId="0" applyNumberFormat="1" applyFont="1" applyFill="1" applyBorder="1" applyAlignment="1">
      <alignment vertical="center"/>
    </xf>
    <xf numFmtId="2" fontId="45" fillId="19" borderId="0" xfId="0" applyNumberFormat="1" applyFont="1" applyFill="1" applyBorder="1" applyAlignment="1">
      <alignment vertical="center"/>
    </xf>
    <xf numFmtId="2" fontId="45" fillId="19" borderId="11" xfId="0" applyNumberFormat="1" applyFont="1" applyFill="1" applyBorder="1" applyAlignment="1">
      <alignment vertical="center"/>
    </xf>
    <xf numFmtId="2" fontId="45" fillId="19" borderId="14" xfId="0" applyNumberFormat="1" applyFont="1" applyFill="1" applyBorder="1" applyAlignment="1">
      <alignment vertical="center"/>
    </xf>
    <xf numFmtId="0" fontId="69" fillId="19" borderId="0" xfId="0" applyFont="1" applyFill="1" applyAlignment="1"/>
    <xf numFmtId="43" fontId="45" fillId="19" borderId="0" xfId="1" applyFont="1" applyFill="1" applyBorder="1" applyAlignment="1">
      <alignment vertical="center"/>
    </xf>
    <xf numFmtId="43" fontId="45" fillId="19" borderId="11" xfId="1" applyFont="1" applyFill="1" applyBorder="1" applyAlignment="1">
      <alignment vertical="center"/>
    </xf>
    <xf numFmtId="43" fontId="45" fillId="19" borderId="14" xfId="1" applyFont="1" applyFill="1" applyBorder="1" applyAlignment="1">
      <alignment vertical="center"/>
    </xf>
    <xf numFmtId="43" fontId="45" fillId="19" borderId="15" xfId="1" applyFont="1" applyFill="1" applyBorder="1" applyAlignment="1">
      <alignment vertical="center"/>
    </xf>
    <xf numFmtId="43" fontId="45" fillId="19" borderId="7" xfId="1" applyFont="1" applyFill="1" applyBorder="1" applyAlignment="1">
      <alignment vertical="center"/>
    </xf>
    <xf numFmtId="43" fontId="45" fillId="19" borderId="8" xfId="1" applyFont="1" applyFill="1" applyBorder="1" applyAlignment="1">
      <alignment vertical="center"/>
    </xf>
    <xf numFmtId="4" fontId="45" fillId="19" borderId="8" xfId="0" applyNumberFormat="1" applyFont="1" applyFill="1" applyBorder="1" applyAlignment="1">
      <alignment vertical="center"/>
    </xf>
    <xf numFmtId="4" fontId="45" fillId="19" borderId="11" xfId="0" applyNumberFormat="1" applyFont="1" applyFill="1" applyBorder="1" applyAlignment="1">
      <alignment vertical="center"/>
    </xf>
    <xf numFmtId="4" fontId="45" fillId="19" borderId="15" xfId="0" applyNumberFormat="1" applyFont="1" applyFill="1" applyBorder="1" applyAlignment="1">
      <alignment vertical="center"/>
    </xf>
    <xf numFmtId="170" fontId="77" fillId="32" borderId="19" xfId="0" applyNumberFormat="1" applyFont="1" applyFill="1" applyBorder="1" applyAlignment="1">
      <alignment vertical="center"/>
    </xf>
    <xf numFmtId="3" fontId="45" fillId="19" borderId="10" xfId="1" applyNumberFormat="1" applyFont="1" applyFill="1" applyBorder="1" applyAlignment="1">
      <alignment vertical="center"/>
    </xf>
    <xf numFmtId="3" fontId="45" fillId="19" borderId="0" xfId="1" applyNumberFormat="1" applyFont="1" applyFill="1" applyBorder="1" applyAlignment="1">
      <alignment vertical="center"/>
    </xf>
    <xf numFmtId="3" fontId="45" fillId="19" borderId="11" xfId="1" applyNumberFormat="1" applyFont="1" applyFill="1" applyBorder="1" applyAlignment="1">
      <alignment vertical="center"/>
    </xf>
    <xf numFmtId="174" fontId="45" fillId="19" borderId="0" xfId="0" applyNumberFormat="1" applyFont="1" applyFill="1" applyAlignment="1">
      <alignment vertical="center"/>
    </xf>
    <xf numFmtId="3" fontId="45" fillId="19" borderId="13" xfId="1" applyNumberFormat="1" applyFont="1" applyFill="1" applyBorder="1" applyAlignment="1">
      <alignment vertical="center"/>
    </xf>
    <xf numFmtId="3" fontId="45" fillId="19" borderId="14" xfId="1" applyNumberFormat="1" applyFont="1" applyFill="1" applyBorder="1" applyAlignment="1">
      <alignment vertical="center"/>
    </xf>
    <xf numFmtId="3" fontId="45" fillId="19" borderId="15" xfId="1" applyNumberFormat="1" applyFont="1" applyFill="1" applyBorder="1" applyAlignment="1">
      <alignment vertical="center"/>
    </xf>
    <xf numFmtId="0" fontId="96" fillId="19" borderId="0" xfId="0" applyFont="1" applyFill="1" applyBorder="1" applyAlignment="1">
      <alignment vertical="center" wrapText="1"/>
    </xf>
    <xf numFmtId="0" fontId="45" fillId="19" borderId="0" xfId="0" applyFont="1" applyFill="1" applyBorder="1" applyAlignment="1">
      <alignment horizontal="right" vertical="center"/>
    </xf>
    <xf numFmtId="181" fontId="45" fillId="19" borderId="7" xfId="1" applyNumberFormat="1" applyFont="1" applyFill="1" applyBorder="1" applyAlignment="1">
      <alignment vertical="center"/>
    </xf>
    <xf numFmtId="169" fontId="45" fillId="19" borderId="7" xfId="1" applyNumberFormat="1" applyFont="1" applyFill="1" applyBorder="1" applyAlignment="1">
      <alignment vertical="center"/>
    </xf>
    <xf numFmtId="169" fontId="45" fillId="19" borderId="8" xfId="1" applyNumberFormat="1" applyFont="1" applyFill="1" applyBorder="1" applyAlignment="1">
      <alignment vertical="center"/>
    </xf>
    <xf numFmtId="169" fontId="45" fillId="19" borderId="0" xfId="1" applyNumberFormat="1" applyFont="1" applyFill="1" applyBorder="1" applyAlignment="1">
      <alignment vertical="center"/>
    </xf>
    <xf numFmtId="169" fontId="45" fillId="19" borderId="11" xfId="1" applyNumberFormat="1" applyFont="1" applyFill="1" applyBorder="1" applyAlignment="1">
      <alignment vertical="center"/>
    </xf>
    <xf numFmtId="181" fontId="45" fillId="19" borderId="14" xfId="1" applyNumberFormat="1" applyFont="1" applyFill="1" applyBorder="1" applyAlignment="1">
      <alignment vertical="center"/>
    </xf>
    <xf numFmtId="169" fontId="45" fillId="19" borderId="14" xfId="1" applyNumberFormat="1" applyFont="1" applyFill="1" applyBorder="1" applyAlignment="1">
      <alignment vertical="center"/>
    </xf>
    <xf numFmtId="169" fontId="45" fillId="19" borderId="15" xfId="1" applyNumberFormat="1" applyFont="1" applyFill="1" applyBorder="1" applyAlignment="1">
      <alignment vertical="center"/>
    </xf>
    <xf numFmtId="167" fontId="89" fillId="19" borderId="0" xfId="1" applyNumberFormat="1" applyFont="1" applyFill="1" applyAlignment="1">
      <alignment vertical="center"/>
    </xf>
    <xf numFmtId="170" fontId="45" fillId="19" borderId="6" xfId="1" applyNumberFormat="1" applyFont="1" applyFill="1" applyBorder="1" applyAlignment="1">
      <alignment vertical="center"/>
    </xf>
    <xf numFmtId="170" fontId="45" fillId="19" borderId="7" xfId="1" applyNumberFormat="1" applyFont="1" applyFill="1" applyBorder="1" applyAlignment="1">
      <alignment vertical="center"/>
    </xf>
    <xf numFmtId="170" fontId="45" fillId="19" borderId="8" xfId="1" applyNumberFormat="1" applyFont="1" applyFill="1" applyBorder="1" applyAlignment="1">
      <alignment vertical="center"/>
    </xf>
    <xf numFmtId="170" fontId="45" fillId="19" borderId="10" xfId="1" applyNumberFormat="1" applyFont="1" applyFill="1" applyBorder="1" applyAlignment="1">
      <alignment vertical="center"/>
    </xf>
    <xf numFmtId="170" fontId="45" fillId="19" borderId="0" xfId="1" applyNumberFormat="1" applyFont="1" applyFill="1" applyBorder="1" applyAlignment="1">
      <alignment vertical="center"/>
    </xf>
    <xf numFmtId="170" fontId="45" fillId="19" borderId="11" xfId="1" applyNumberFormat="1" applyFont="1" applyFill="1" applyBorder="1" applyAlignment="1">
      <alignment vertical="center"/>
    </xf>
    <xf numFmtId="170" fontId="45" fillId="19" borderId="13" xfId="1" applyNumberFormat="1" applyFont="1" applyFill="1" applyBorder="1" applyAlignment="1">
      <alignment vertical="center"/>
    </xf>
    <xf numFmtId="170" fontId="45" fillId="19" borderId="14" xfId="1" applyNumberFormat="1" applyFont="1" applyFill="1" applyBorder="1" applyAlignment="1">
      <alignment vertical="center"/>
    </xf>
    <xf numFmtId="170" fontId="45" fillId="19" borderId="15" xfId="1" applyNumberFormat="1" applyFont="1" applyFill="1" applyBorder="1" applyAlignment="1">
      <alignment vertical="center"/>
    </xf>
    <xf numFmtId="0" fontId="20" fillId="23" borderId="9" xfId="0" applyFont="1" applyFill="1" applyBorder="1" applyAlignment="1">
      <alignment horizontal="center" vertical="top" wrapText="1"/>
    </xf>
    <xf numFmtId="0" fontId="45" fillId="9" borderId="6" xfId="0" applyFont="1" applyFill="1" applyBorder="1" applyAlignment="1">
      <alignment horizontal="center" vertical="top"/>
    </xf>
    <xf numFmtId="181" fontId="45" fillId="19" borderId="7" xfId="1" applyNumberFormat="1" applyFont="1" applyFill="1" applyBorder="1" applyAlignment="1">
      <alignment vertical="top"/>
    </xf>
    <xf numFmtId="169" fontId="45" fillId="19" borderId="7" xfId="1" applyNumberFormat="1" applyFont="1" applyFill="1" applyBorder="1" applyAlignment="1">
      <alignment vertical="top"/>
    </xf>
    <xf numFmtId="169" fontId="45" fillId="19" borderId="8" xfId="1" applyNumberFormat="1" applyFont="1" applyFill="1" applyBorder="1" applyAlignment="1">
      <alignment vertical="top"/>
    </xf>
    <xf numFmtId="181" fontId="45" fillId="19" borderId="0" xfId="1" applyNumberFormat="1" applyFont="1" applyFill="1" applyBorder="1" applyAlignment="1">
      <alignment vertical="top"/>
    </xf>
    <xf numFmtId="169" fontId="45" fillId="19" borderId="0" xfId="1" applyNumberFormat="1" applyFont="1" applyFill="1" applyBorder="1" applyAlignment="1">
      <alignment vertical="top"/>
    </xf>
    <xf numFmtId="169" fontId="45" fillId="19" borderId="11" xfId="1" applyNumberFormat="1" applyFont="1" applyFill="1" applyBorder="1" applyAlignment="1">
      <alignment vertical="top"/>
    </xf>
    <xf numFmtId="181" fontId="45" fillId="19" borderId="14" xfId="1" applyNumberFormat="1" applyFont="1" applyFill="1" applyBorder="1" applyAlignment="1">
      <alignment vertical="top"/>
    </xf>
    <xf numFmtId="169" fontId="45" fillId="19" borderId="14" xfId="1" applyNumberFormat="1" applyFont="1" applyFill="1" applyBorder="1" applyAlignment="1">
      <alignment vertical="top"/>
    </xf>
    <xf numFmtId="169" fontId="45" fillId="19" borderId="15" xfId="1" applyNumberFormat="1" applyFont="1" applyFill="1" applyBorder="1" applyAlignment="1">
      <alignment vertical="top"/>
    </xf>
    <xf numFmtId="176" fontId="45" fillId="19" borderId="7" xfId="1" applyNumberFormat="1" applyFont="1" applyFill="1" applyBorder="1" applyAlignment="1">
      <alignment vertical="center"/>
    </xf>
    <xf numFmtId="176" fontId="45" fillId="19" borderId="8" xfId="1" applyNumberFormat="1" applyFont="1" applyFill="1" applyBorder="1" applyAlignment="1">
      <alignment vertical="center"/>
    </xf>
    <xf numFmtId="176" fontId="45" fillId="19" borderId="0" xfId="1" applyNumberFormat="1" applyFont="1" applyFill="1" applyBorder="1" applyAlignment="1">
      <alignment vertical="center"/>
    </xf>
    <xf numFmtId="176" fontId="45" fillId="19" borderId="11" xfId="1" applyNumberFormat="1" applyFont="1" applyFill="1" applyBorder="1" applyAlignment="1">
      <alignment vertical="center"/>
    </xf>
    <xf numFmtId="176" fontId="45" fillId="19" borderId="14" xfId="1" applyNumberFormat="1" applyFont="1" applyFill="1" applyBorder="1" applyAlignment="1">
      <alignment vertical="center"/>
    </xf>
    <xf numFmtId="176" fontId="45" fillId="19" borderId="15" xfId="1" applyNumberFormat="1" applyFont="1" applyFill="1" applyBorder="1" applyAlignment="1">
      <alignment vertical="center"/>
    </xf>
    <xf numFmtId="174" fontId="45" fillId="19" borderId="6" xfId="0" applyNumberFormat="1" applyFont="1" applyFill="1" applyBorder="1" applyAlignment="1">
      <alignment vertical="center"/>
    </xf>
    <xf numFmtId="174" fontId="45" fillId="19" borderId="7" xfId="0" applyNumberFormat="1" applyFont="1" applyFill="1" applyBorder="1" applyAlignment="1">
      <alignment vertical="center"/>
    </xf>
    <xf numFmtId="174" fontId="45" fillId="19" borderId="8" xfId="0" applyNumberFormat="1" applyFont="1" applyFill="1" applyBorder="1" applyAlignment="1">
      <alignment vertical="center"/>
    </xf>
    <xf numFmtId="174" fontId="45" fillId="19" borderId="10" xfId="0" applyNumberFormat="1" applyFont="1" applyFill="1" applyBorder="1" applyAlignment="1">
      <alignment vertical="center"/>
    </xf>
    <xf numFmtId="174" fontId="45" fillId="19" borderId="0" xfId="0" applyNumberFormat="1" applyFont="1" applyFill="1" applyBorder="1" applyAlignment="1">
      <alignment vertical="center"/>
    </xf>
    <xf numFmtId="174" fontId="45" fillId="19" borderId="11" xfId="0" applyNumberFormat="1" applyFont="1" applyFill="1" applyBorder="1" applyAlignment="1">
      <alignment vertical="center"/>
    </xf>
    <xf numFmtId="174" fontId="45" fillId="19" borderId="13" xfId="0" applyNumberFormat="1" applyFont="1" applyFill="1" applyBorder="1" applyAlignment="1">
      <alignment vertical="center"/>
    </xf>
    <xf numFmtId="174" fontId="45" fillId="19" borderId="14" xfId="0" applyNumberFormat="1" applyFont="1" applyFill="1" applyBorder="1" applyAlignment="1">
      <alignment vertical="center"/>
    </xf>
    <xf numFmtId="174" fontId="45" fillId="19" borderId="15" xfId="0" applyNumberFormat="1" applyFont="1" applyFill="1" applyBorder="1" applyAlignment="1">
      <alignment vertical="center"/>
    </xf>
    <xf numFmtId="5" fontId="83" fillId="32" borderId="19" xfId="0" applyNumberFormat="1" applyFont="1" applyFill="1" applyBorder="1" applyAlignment="1">
      <alignment vertical="center"/>
    </xf>
    <xf numFmtId="0" fontId="79" fillId="19" borderId="0" xfId="0" applyFont="1" applyFill="1" applyBorder="1" applyAlignment="1">
      <alignment horizontal="left" vertical="center"/>
    </xf>
    <xf numFmtId="0" fontId="20" fillId="19" borderId="11" xfId="0" applyFont="1" applyFill="1" applyBorder="1" applyAlignment="1">
      <alignment horizontal="center" vertical="center"/>
    </xf>
    <xf numFmtId="0" fontId="20" fillId="19" borderId="0" xfId="0" applyFont="1" applyFill="1" applyBorder="1" applyAlignment="1">
      <alignment horizontal="center" vertical="center"/>
    </xf>
    <xf numFmtId="0" fontId="55" fillId="19" borderId="0" xfId="0" applyFont="1" applyFill="1" applyBorder="1" applyAlignment="1">
      <alignment vertical="center"/>
    </xf>
    <xf numFmtId="0" fontId="100" fillId="19" borderId="0" xfId="0" applyFont="1" applyFill="1" applyBorder="1" applyAlignment="1">
      <alignment vertical="center"/>
    </xf>
    <xf numFmtId="0" fontId="55" fillId="19" borderId="0" xfId="0" applyFont="1" applyFill="1" applyBorder="1" applyAlignment="1">
      <alignment horizontal="center" vertical="center"/>
    </xf>
    <xf numFmtId="170" fontId="45" fillId="19" borderId="1" xfId="0" applyNumberFormat="1" applyFont="1" applyFill="1" applyBorder="1" applyAlignment="1">
      <alignment vertical="center"/>
    </xf>
    <xf numFmtId="3" fontId="45" fillId="19" borderId="0" xfId="0" applyNumberFormat="1" applyFont="1" applyFill="1" applyBorder="1" applyAlignment="1">
      <alignment horizontal="right" vertical="center"/>
    </xf>
    <xf numFmtId="3" fontId="20" fillId="19" borderId="0" xfId="1" applyNumberFormat="1" applyFont="1" applyFill="1" applyBorder="1" applyAlignment="1">
      <alignment horizontal="right" vertical="center"/>
    </xf>
    <xf numFmtId="0" fontId="55" fillId="0" borderId="1" xfId="0" applyFont="1" applyFill="1" applyBorder="1" applyAlignment="1">
      <alignment horizontal="left" vertical="center" wrapText="1"/>
    </xf>
    <xf numFmtId="5" fontId="5" fillId="0" borderId="1" xfId="0" applyNumberFormat="1" applyFont="1" applyBorder="1" applyAlignment="1">
      <alignment horizontal="right" vertical="center" wrapText="1"/>
    </xf>
    <xf numFmtId="0" fontId="5" fillId="0" borderId="1" xfId="0" applyFont="1" applyFill="1" applyBorder="1" applyAlignment="1">
      <alignment vertical="center" wrapText="1"/>
    </xf>
    <xf numFmtId="165" fontId="5" fillId="0" borderId="90" xfId="0" applyNumberFormat="1" applyFont="1" applyFill="1" applyBorder="1" applyAlignment="1">
      <alignment horizontal="center" vertical="center"/>
    </xf>
    <xf numFmtId="165" fontId="5" fillId="0" borderId="91" xfId="0" applyNumberFormat="1" applyFont="1" applyFill="1" applyBorder="1" applyAlignment="1">
      <alignment horizontal="center" vertical="center"/>
    </xf>
    <xf numFmtId="7" fontId="5" fillId="0" borderId="0" xfId="0" applyNumberFormat="1" applyFont="1" applyAlignment="1">
      <alignment vertical="center"/>
    </xf>
    <xf numFmtId="165" fontId="5" fillId="0" borderId="1" xfId="0" applyNumberFormat="1" applyFont="1" applyFill="1" applyBorder="1" applyAlignment="1">
      <alignment horizontal="center" vertical="center"/>
    </xf>
    <xf numFmtId="5" fontId="5" fillId="0" borderId="30" xfId="0" applyNumberFormat="1" applyFont="1" applyBorder="1" applyAlignment="1">
      <alignment vertical="center"/>
    </xf>
    <xf numFmtId="165" fontId="54" fillId="0" borderId="90" xfId="0" applyNumberFormat="1" applyFont="1" applyFill="1" applyBorder="1" applyAlignment="1">
      <alignment horizontal="center" vertical="center"/>
    </xf>
    <xf numFmtId="165" fontId="54" fillId="0" borderId="91" xfId="0" applyNumberFormat="1" applyFont="1" applyFill="1" applyBorder="1" applyAlignment="1">
      <alignment horizontal="center" vertical="center"/>
    </xf>
    <xf numFmtId="0" fontId="54" fillId="0" borderId="0" xfId="0" applyFont="1" applyFill="1" applyBorder="1" applyAlignment="1">
      <alignment vertical="center" wrapText="1"/>
    </xf>
    <xf numFmtId="166" fontId="5" fillId="0" borderId="0" xfId="1" applyNumberFormat="1" applyFont="1" applyAlignment="1">
      <alignment vertical="center"/>
    </xf>
    <xf numFmtId="0" fontId="78" fillId="17" borderId="10" xfId="0" applyFont="1" applyFill="1" applyBorder="1" applyAlignment="1">
      <alignment horizontal="left" vertical="top" wrapText="1"/>
    </xf>
    <xf numFmtId="3" fontId="5" fillId="0" borderId="11" xfId="0" applyNumberFormat="1" applyFont="1" applyFill="1" applyBorder="1" applyAlignment="1">
      <alignment vertical="center"/>
    </xf>
    <xf numFmtId="0" fontId="78" fillId="17" borderId="10" xfId="0" applyFont="1" applyFill="1" applyBorder="1"/>
    <xf numFmtId="0" fontId="5" fillId="0" borderId="14" xfId="0" applyFont="1" applyBorder="1" applyAlignment="1">
      <alignment vertical="center"/>
    </xf>
    <xf numFmtId="0" fontId="77" fillId="0" borderId="0" xfId="0" applyFont="1" applyBorder="1" applyAlignment="1">
      <alignment vertical="center"/>
    </xf>
    <xf numFmtId="0" fontId="5" fillId="0" borderId="0" xfId="0" applyFont="1" applyFill="1" applyBorder="1" applyAlignment="1">
      <alignment horizontal="center" vertical="center"/>
    </xf>
    <xf numFmtId="170" fontId="45" fillId="0" borderId="1" xfId="2" applyNumberFormat="1" applyFont="1" applyBorder="1" applyAlignment="1">
      <alignment horizontal="right" vertical="center" wrapText="1"/>
    </xf>
    <xf numFmtId="3" fontId="45" fillId="0" borderId="0" xfId="0" applyNumberFormat="1" applyFont="1" applyFill="1" applyBorder="1" applyAlignment="1">
      <alignment horizontal="right" vertical="center"/>
    </xf>
    <xf numFmtId="3" fontId="20" fillId="0" borderId="0" xfId="1" applyNumberFormat="1" applyFont="1" applyFill="1" applyBorder="1" applyAlignment="1">
      <alignment horizontal="right" vertical="center" wrapText="1"/>
    </xf>
    <xf numFmtId="0" fontId="22" fillId="0" borderId="1" xfId="0" applyFont="1" applyFill="1" applyBorder="1"/>
    <xf numFmtId="0" fontId="39" fillId="0" borderId="0" xfId="0" applyFont="1" applyBorder="1"/>
    <xf numFmtId="0" fontId="102" fillId="39" borderId="1" xfId="0" applyFont="1" applyFill="1" applyBorder="1" applyAlignment="1">
      <alignment horizontal="center" vertical="center" wrapText="1"/>
    </xf>
    <xf numFmtId="166" fontId="102" fillId="39" borderId="1" xfId="1" applyNumberFormat="1" applyFont="1" applyFill="1" applyBorder="1" applyAlignment="1">
      <alignment horizontal="center" vertical="center" wrapText="1"/>
    </xf>
    <xf numFmtId="166" fontId="103" fillId="19" borderId="1" xfId="1" applyNumberFormat="1" applyFont="1" applyFill="1" applyBorder="1"/>
    <xf numFmtId="166" fontId="103" fillId="19" borderId="1" xfId="0" applyNumberFormat="1" applyFont="1" applyFill="1" applyBorder="1" applyAlignment="1">
      <alignment vertical="center"/>
    </xf>
    <xf numFmtId="166" fontId="103" fillId="0" borderId="1" xfId="0" applyNumberFormat="1" applyFont="1" applyFill="1" applyBorder="1" applyAlignment="1">
      <alignment vertical="center"/>
    </xf>
    <xf numFmtId="0" fontId="103" fillId="19" borderId="1" xfId="0" applyFont="1" applyFill="1" applyBorder="1"/>
    <xf numFmtId="49" fontId="103" fillId="19" borderId="1" xfId="0" applyNumberFormat="1" applyFont="1" applyFill="1" applyBorder="1" applyAlignment="1">
      <alignment horizontal="center" vertical="center"/>
    </xf>
    <xf numFmtId="164" fontId="103" fillId="19" borderId="1" xfId="0" applyNumberFormat="1" applyFont="1" applyFill="1" applyBorder="1"/>
    <xf numFmtId="166" fontId="103" fillId="19" borderId="1" xfId="0" applyNumberFormat="1" applyFont="1" applyFill="1" applyBorder="1"/>
    <xf numFmtId="166" fontId="103" fillId="19" borderId="1" xfId="0" applyNumberFormat="1" applyFont="1" applyFill="1" applyBorder="1" applyAlignment="1">
      <alignment horizontal="left" vertical="center"/>
    </xf>
    <xf numFmtId="0" fontId="103" fillId="0" borderId="1" xfId="0" applyFont="1" applyFill="1" applyBorder="1"/>
    <xf numFmtId="164" fontId="103" fillId="19" borderId="1" xfId="0" applyNumberFormat="1" applyFont="1" applyFill="1" applyBorder="1" applyAlignment="1">
      <alignment horizontal="center" vertical="center"/>
    </xf>
    <xf numFmtId="0" fontId="0" fillId="0" borderId="1" xfId="0" applyBorder="1" applyAlignment="1">
      <alignment horizontal="center" vertical="center" wrapText="1"/>
    </xf>
    <xf numFmtId="166" fontId="0" fillId="0" borderId="1" xfId="0" applyNumberFormat="1" applyBorder="1"/>
    <xf numFmtId="164" fontId="103" fillId="19" borderId="1" xfId="0" applyNumberFormat="1" applyFont="1" applyFill="1" applyBorder="1" applyAlignment="1">
      <alignment horizontal="center" vertical="center" wrapText="1"/>
    </xf>
    <xf numFmtId="0" fontId="0" fillId="0" borderId="0" xfId="0" applyAlignment="1">
      <alignment horizontal="center" vertical="center"/>
    </xf>
    <xf numFmtId="3" fontId="0" fillId="0" borderId="1" xfId="0" applyNumberFormat="1" applyBorder="1" applyAlignment="1">
      <alignment horizontal="center" vertical="center"/>
    </xf>
    <xf numFmtId="0" fontId="22" fillId="0" borderId="0" xfId="0" applyFont="1" applyAlignment="1">
      <alignment horizontal="center"/>
    </xf>
    <xf numFmtId="0" fontId="104" fillId="0" borderId="0" xfId="0" applyFont="1" applyBorder="1" applyAlignment="1">
      <alignment horizontal="center" vertical="center" wrapText="1"/>
    </xf>
    <xf numFmtId="0" fontId="0" fillId="0" borderId="0" xfId="0" applyAlignment="1"/>
    <xf numFmtId="0" fontId="9" fillId="0" borderId="0" xfId="0" applyFont="1" applyBorder="1" applyAlignment="1">
      <alignment horizontal="center" vertical="center" wrapText="1"/>
    </xf>
    <xf numFmtId="0" fontId="21" fillId="35" borderId="0" xfId="0" applyFont="1" applyFill="1" applyAlignment="1">
      <alignment horizontal="center" vertical="center"/>
    </xf>
    <xf numFmtId="0" fontId="67" fillId="34" borderId="0" xfId="0" applyFont="1" applyFill="1" applyAlignment="1">
      <alignment horizontal="center" vertical="center" wrapText="1"/>
    </xf>
    <xf numFmtId="0" fontId="21" fillId="23" borderId="0" xfId="0" applyFont="1" applyFill="1" applyAlignment="1">
      <alignment horizontal="center" vertical="center"/>
    </xf>
    <xf numFmtId="3" fontId="0" fillId="0" borderId="0" xfId="0" applyNumberFormat="1"/>
    <xf numFmtId="0" fontId="9" fillId="0" borderId="11" xfId="0" applyFont="1" applyBorder="1" applyAlignment="1">
      <alignment horizontal="center" vertical="center" wrapText="1"/>
    </xf>
    <xf numFmtId="3" fontId="5" fillId="0" borderId="0" xfId="0" applyNumberFormat="1" applyFont="1" applyBorder="1" applyAlignment="1">
      <alignment horizontal="center" vertical="center" wrapText="1"/>
    </xf>
    <xf numFmtId="9" fontId="5" fillId="0" borderId="0" xfId="8" applyFont="1" applyBorder="1" applyAlignment="1">
      <alignment horizontal="center" vertical="center" wrapText="1"/>
    </xf>
    <xf numFmtId="170" fontId="68" fillId="36" borderId="0" xfId="0" applyNumberFormat="1" applyFont="1" applyFill="1" applyBorder="1" applyAlignment="1">
      <alignment horizontal="left" vertical="center" wrapText="1"/>
    </xf>
    <xf numFmtId="10" fontId="0" fillId="23" borderId="0" xfId="8" applyNumberFormat="1" applyFont="1" applyFill="1"/>
    <xf numFmtId="3" fontId="5" fillId="0" borderId="11" xfId="0" applyNumberFormat="1" applyFont="1" applyBorder="1" applyAlignment="1">
      <alignment horizontal="center" vertical="center" wrapText="1"/>
    </xf>
    <xf numFmtId="0" fontId="68" fillId="42" borderId="0" xfId="0" applyFont="1" applyFill="1" applyBorder="1" applyAlignment="1">
      <alignment vertical="center" wrapText="1"/>
    </xf>
    <xf numFmtId="0" fontId="5" fillId="0" borderId="10" xfId="0" applyFont="1" applyFill="1" applyBorder="1" applyAlignment="1">
      <alignment vertical="center" wrapText="1"/>
    </xf>
    <xf numFmtId="0" fontId="68" fillId="42" borderId="0" xfId="0" applyFont="1" applyFill="1" applyBorder="1" applyAlignment="1">
      <alignment vertical="center"/>
    </xf>
    <xf numFmtId="0" fontId="0" fillId="23" borderId="0" xfId="0" applyFill="1"/>
    <xf numFmtId="0" fontId="5" fillId="0" borderId="10" xfId="0" applyFont="1" applyBorder="1"/>
    <xf numFmtId="0" fontId="5" fillId="0" borderId="0" xfId="0" applyFont="1"/>
    <xf numFmtId="0" fontId="5" fillId="0" borderId="13" xfId="0" applyFont="1" applyBorder="1" applyAlignment="1">
      <alignment vertical="center" wrapText="1"/>
    </xf>
    <xf numFmtId="3" fontId="5" fillId="0" borderId="14" xfId="0" applyNumberFormat="1" applyFont="1" applyBorder="1" applyAlignment="1">
      <alignment horizontal="center" vertical="center" wrapText="1"/>
    </xf>
    <xf numFmtId="3" fontId="5" fillId="0" borderId="15" xfId="0" applyNumberFormat="1" applyFont="1" applyBorder="1" applyAlignment="1">
      <alignment horizontal="center" vertical="center" wrapText="1"/>
    </xf>
    <xf numFmtId="0" fontId="5" fillId="0" borderId="0" xfId="0" applyFont="1" applyBorder="1"/>
    <xf numFmtId="3" fontId="5" fillId="0" borderId="0" xfId="0" applyNumberFormat="1" applyFont="1" applyBorder="1" applyAlignment="1">
      <alignment horizontal="center" vertical="center"/>
    </xf>
    <xf numFmtId="3" fontId="0" fillId="23" borderId="0" xfId="0" applyNumberFormat="1" applyFill="1"/>
    <xf numFmtId="0" fontId="0" fillId="0" borderId="10" xfId="0" applyBorder="1"/>
    <xf numFmtId="10" fontId="0" fillId="23" borderId="0" xfId="8" applyNumberFormat="1" applyFont="1" applyFill="1" applyBorder="1"/>
    <xf numFmtId="3" fontId="0" fillId="23" borderId="0" xfId="0" applyNumberFormat="1" applyFill="1" applyBorder="1"/>
    <xf numFmtId="0" fontId="43" fillId="23" borderId="0" xfId="0" applyFont="1" applyFill="1" applyAlignment="1">
      <alignment wrapText="1"/>
    </xf>
    <xf numFmtId="3" fontId="22" fillId="0" borderId="0" xfId="0" applyNumberFormat="1" applyFont="1" applyAlignment="1"/>
    <xf numFmtId="170" fontId="105" fillId="36" borderId="0" xfId="0" applyNumberFormat="1" applyFont="1" applyFill="1" applyBorder="1" applyAlignment="1">
      <alignment horizontal="left" vertical="center"/>
    </xf>
    <xf numFmtId="191" fontId="22" fillId="0" borderId="1" xfId="0" applyNumberFormat="1" applyFont="1" applyBorder="1"/>
    <xf numFmtId="0" fontId="20" fillId="0" borderId="1" xfId="49" applyFont="1" applyBorder="1" applyAlignment="1">
      <alignment horizontal="left" vertical="center"/>
    </xf>
    <xf numFmtId="0" fontId="20" fillId="0" borderId="1" xfId="0" applyFont="1" applyBorder="1"/>
    <xf numFmtId="0" fontId="20" fillId="0" borderId="22" xfId="0" applyFont="1" applyBorder="1"/>
    <xf numFmtId="0" fontId="55" fillId="23" borderId="1" xfId="0" applyFont="1" applyFill="1" applyBorder="1" applyAlignment="1">
      <alignment horizontal="center" vertical="center" wrapText="1"/>
    </xf>
    <xf numFmtId="0" fontId="22" fillId="0" borderId="0" xfId="0" applyFont="1" applyAlignment="1">
      <alignment horizontal="center"/>
    </xf>
    <xf numFmtId="166" fontId="59" fillId="0" borderId="0" xfId="1" applyNumberFormat="1" applyFont="1" applyAlignment="1">
      <alignment horizontal="center"/>
    </xf>
    <xf numFmtId="0" fontId="20"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3" fontId="9" fillId="0" borderId="0" xfId="0" applyNumberFormat="1" applyFont="1" applyFill="1" applyBorder="1" applyAlignment="1">
      <alignment horizontal="center" vertical="center"/>
    </xf>
    <xf numFmtId="170"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3" fontId="5" fillId="0" borderId="0" xfId="0" applyNumberFormat="1" applyFont="1" applyFill="1" applyBorder="1" applyAlignment="1">
      <alignment horizontal="center" vertical="center"/>
    </xf>
    <xf numFmtId="3" fontId="5" fillId="0" borderId="11" xfId="0" applyNumberFormat="1" applyFont="1" applyFill="1" applyBorder="1" applyAlignment="1">
      <alignment horizontal="center" vertical="center"/>
    </xf>
    <xf numFmtId="170" fontId="5" fillId="0" borderId="11" xfId="0" applyNumberFormat="1" applyFont="1" applyBorder="1" applyAlignment="1">
      <alignment vertical="center"/>
    </xf>
    <xf numFmtId="3" fontId="9" fillId="0" borderId="11" xfId="0" applyNumberFormat="1" applyFont="1" applyFill="1" applyBorder="1" applyAlignment="1">
      <alignment vertical="center"/>
    </xf>
    <xf numFmtId="3" fontId="9" fillId="0" borderId="11" xfId="0" applyNumberFormat="1" applyFont="1" applyFill="1" applyBorder="1" applyAlignment="1">
      <alignment horizontal="center" vertical="center"/>
    </xf>
    <xf numFmtId="170" fontId="9" fillId="0" borderId="11" xfId="0" applyNumberFormat="1" applyFont="1" applyBorder="1" applyAlignment="1">
      <alignment vertical="center"/>
    </xf>
    <xf numFmtId="0" fontId="106" fillId="0" borderId="0" xfId="0" applyFont="1" applyBorder="1" applyAlignment="1">
      <alignment vertical="center"/>
    </xf>
    <xf numFmtId="7" fontId="5" fillId="0" borderId="1" xfId="0" applyNumberFormat="1" applyFont="1" applyFill="1" applyBorder="1" applyAlignment="1">
      <alignment horizontal="center" vertical="center"/>
    </xf>
    <xf numFmtId="7" fontId="45" fillId="19" borderId="14" xfId="0" applyNumberFormat="1" applyFont="1" applyFill="1" applyBorder="1" applyAlignment="1">
      <alignment vertical="center"/>
    </xf>
    <xf numFmtId="0" fontId="100" fillId="23" borderId="1" xfId="0" applyFont="1" applyFill="1" applyBorder="1" applyAlignment="1">
      <alignment vertical="center" wrapText="1"/>
    </xf>
    <xf numFmtId="0" fontId="76" fillId="0" borderId="0" xfId="0" applyFont="1" applyBorder="1" applyAlignment="1">
      <alignment horizontal="left" vertical="center"/>
    </xf>
    <xf numFmtId="1" fontId="45" fillId="0" borderId="1" xfId="0" applyNumberFormat="1" applyFont="1" applyBorder="1"/>
    <xf numFmtId="0" fontId="9" fillId="9" borderId="11" xfId="0" applyFont="1" applyFill="1" applyBorder="1" applyAlignment="1">
      <alignment horizontal="center" vertical="center"/>
    </xf>
    <xf numFmtId="0" fontId="9" fillId="9" borderId="17" xfId="0" applyFont="1" applyFill="1" applyBorder="1" applyAlignment="1">
      <alignment vertical="top"/>
    </xf>
    <xf numFmtId="0" fontId="20" fillId="0" borderId="1" xfId="0" applyFont="1" applyBorder="1" applyAlignment="1">
      <alignment horizontal="center" vertical="center"/>
    </xf>
    <xf numFmtId="0" fontId="55" fillId="23" borderId="1" xfId="0" applyFont="1" applyFill="1" applyBorder="1" applyAlignment="1">
      <alignment horizontal="center" vertical="center" wrapText="1"/>
    </xf>
    <xf numFmtId="0" fontId="69" fillId="19" borderId="0" xfId="0" applyFont="1" applyFill="1" applyBorder="1" applyAlignment="1">
      <alignment horizontal="center" vertical="center"/>
    </xf>
    <xf numFmtId="0" fontId="43" fillId="0" borderId="0" xfId="0" applyFont="1" applyBorder="1" applyAlignment="1">
      <alignment horizontal="center" vertical="center" wrapText="1"/>
    </xf>
    <xf numFmtId="0" fontId="45" fillId="0" borderId="0" xfId="0" applyFont="1" applyAlignment="1">
      <alignment horizontal="center"/>
    </xf>
    <xf numFmtId="0" fontId="107" fillId="30" borderId="6" xfId="113" applyFont="1" applyBorder="1" applyAlignment="1">
      <alignment horizontal="left" vertical="center"/>
    </xf>
    <xf numFmtId="9" fontId="107" fillId="30" borderId="8" xfId="113" applyNumberFormat="1" applyFont="1" applyBorder="1" applyAlignment="1">
      <alignment horizontal="center" vertical="center" wrapText="1"/>
    </xf>
    <xf numFmtId="0" fontId="45" fillId="0" borderId="0" xfId="0" applyFont="1" applyFill="1"/>
    <xf numFmtId="0" fontId="107" fillId="30" borderId="13" xfId="113" applyFont="1" applyBorder="1" applyAlignment="1">
      <alignment horizontal="left" vertical="center"/>
    </xf>
    <xf numFmtId="9" fontId="107" fillId="30" borderId="15" xfId="113" applyNumberFormat="1" applyFont="1" applyBorder="1" applyAlignment="1">
      <alignment horizontal="center" vertical="center" wrapText="1"/>
    </xf>
    <xf numFmtId="0" fontId="107" fillId="0" borderId="0" xfId="113" applyFont="1" applyFill="1" applyBorder="1" applyAlignment="1">
      <alignment horizontal="left" vertical="center"/>
    </xf>
    <xf numFmtId="9" fontId="107" fillId="0" borderId="0" xfId="113" applyNumberFormat="1" applyFont="1" applyFill="1" applyBorder="1" applyAlignment="1">
      <alignment horizontal="center" vertical="center" wrapText="1"/>
    </xf>
    <xf numFmtId="0" fontId="20" fillId="0" borderId="1" xfId="0" applyFont="1" applyFill="1" applyBorder="1" applyAlignment="1">
      <alignment vertical="center"/>
    </xf>
    <xf numFmtId="191" fontId="20" fillId="0" borderId="1" xfId="2" applyNumberFormat="1" applyFont="1" applyBorder="1"/>
    <xf numFmtId="0" fontId="108" fillId="22" borderId="1" xfId="0" applyFont="1" applyFill="1" applyBorder="1" applyAlignment="1">
      <alignment horizontal="center" vertical="top" wrapText="1"/>
    </xf>
    <xf numFmtId="0" fontId="20" fillId="0" borderId="0" xfId="0" applyFont="1"/>
    <xf numFmtId="0" fontId="45" fillId="0" borderId="1" xfId="0" applyFont="1" applyFill="1" applyBorder="1" applyAlignment="1">
      <alignment horizontal="center" vertical="center" wrapText="1"/>
    </xf>
    <xf numFmtId="0" fontId="109" fillId="0" borderId="1" xfId="0" applyFont="1" applyFill="1" applyBorder="1" applyAlignment="1">
      <alignment horizontal="center" vertical="center" wrapText="1"/>
    </xf>
    <xf numFmtId="170" fontId="109" fillId="0" borderId="1" xfId="0" applyNumberFormat="1" applyFont="1" applyFill="1" applyBorder="1" applyAlignment="1">
      <alignment horizontal="center" vertical="center" wrapText="1"/>
    </xf>
    <xf numFmtId="191" fontId="45" fillId="0" borderId="1" xfId="2" applyNumberFormat="1" applyFont="1" applyBorder="1"/>
    <xf numFmtId="191" fontId="45" fillId="0" borderId="1" xfId="0" applyNumberFormat="1" applyFont="1" applyBorder="1"/>
    <xf numFmtId="0" fontId="108" fillId="0" borderId="1" xfId="0" applyFont="1" applyFill="1" applyBorder="1" applyAlignment="1">
      <alignment horizontal="center" vertical="center" wrapText="1"/>
    </xf>
    <xf numFmtId="170" fontId="108" fillId="0" borderId="1" xfId="0" applyNumberFormat="1" applyFont="1" applyFill="1" applyBorder="1" applyAlignment="1">
      <alignment horizontal="center" vertical="center" wrapText="1"/>
    </xf>
    <xf numFmtId="0" fontId="20" fillId="0" borderId="0" xfId="0" applyFont="1" applyFill="1" applyBorder="1" applyAlignment="1">
      <alignment horizontal="center"/>
    </xf>
    <xf numFmtId="3" fontId="20" fillId="0" borderId="0" xfId="0" applyNumberFormat="1" applyFont="1" applyFill="1" applyBorder="1"/>
    <xf numFmtId="0" fontId="45" fillId="0" borderId="0" xfId="0" applyFont="1" applyFill="1" applyBorder="1" applyAlignment="1">
      <alignment horizontal="center"/>
    </xf>
    <xf numFmtId="0" fontId="45" fillId="0" borderId="0" xfId="0" applyFont="1" applyFill="1" applyBorder="1"/>
    <xf numFmtId="170" fontId="45" fillId="0" borderId="0" xfId="0" applyNumberFormat="1" applyFont="1"/>
    <xf numFmtId="0" fontId="20" fillId="0" borderId="0" xfId="0" applyFont="1" applyFill="1" applyBorder="1" applyAlignment="1">
      <alignment vertical="center" wrapText="1"/>
    </xf>
    <xf numFmtId="0" fontId="45" fillId="0" borderId="0" xfId="0" applyFont="1" applyAlignment="1">
      <alignment wrapText="1"/>
    </xf>
    <xf numFmtId="0" fontId="73" fillId="0" borderId="62" xfId="0" applyFont="1" applyFill="1" applyBorder="1" applyAlignment="1">
      <alignment horizontal="center" vertical="center"/>
    </xf>
    <xf numFmtId="0" fontId="73" fillId="0" borderId="64" xfId="0" applyFont="1" applyFill="1" applyBorder="1" applyAlignment="1">
      <alignment horizontal="center" vertical="center"/>
    </xf>
    <xf numFmtId="9" fontId="73" fillId="0" borderId="35" xfId="8" applyFont="1" applyFill="1" applyBorder="1" applyAlignment="1">
      <alignment horizontal="center" vertical="center"/>
    </xf>
    <xf numFmtId="9" fontId="73" fillId="0" borderId="37" xfId="8" applyFont="1" applyFill="1" applyBorder="1" applyAlignment="1">
      <alignment horizontal="center" vertical="center"/>
    </xf>
    <xf numFmtId="170" fontId="72" fillId="0" borderId="1" xfId="1" applyNumberFormat="1" applyFont="1" applyBorder="1" applyAlignment="1">
      <alignment horizontal="center" vertical="center" wrapText="1"/>
    </xf>
    <xf numFmtId="170" fontId="72" fillId="0" borderId="37" xfId="2" applyNumberFormat="1" applyFont="1" applyBorder="1" applyAlignment="1">
      <alignment horizontal="center" vertical="center"/>
    </xf>
    <xf numFmtId="0" fontId="73" fillId="0" borderId="43" xfId="0" applyFont="1" applyBorder="1" applyAlignment="1">
      <alignment vertical="center"/>
    </xf>
    <xf numFmtId="170" fontId="73" fillId="25" borderId="40" xfId="1" applyNumberFormat="1" applyFont="1" applyFill="1" applyBorder="1" applyAlignment="1">
      <alignment horizontal="center" vertical="center" wrapText="1"/>
    </xf>
    <xf numFmtId="190" fontId="45" fillId="0" borderId="0" xfId="0" applyNumberFormat="1" applyFont="1"/>
    <xf numFmtId="170" fontId="20" fillId="16" borderId="1" xfId="115" applyNumberFormat="1" applyFont="1" applyBorder="1"/>
    <xf numFmtId="0" fontId="20" fillId="0" borderId="1" xfId="0" applyFont="1" applyFill="1" applyBorder="1" applyAlignment="1">
      <alignment vertical="center" wrapText="1"/>
    </xf>
    <xf numFmtId="0" fontId="45" fillId="0" borderId="35" xfId="0" applyFont="1" applyFill="1" applyBorder="1" applyAlignment="1">
      <alignment horizontal="center" vertical="center" wrapText="1"/>
    </xf>
    <xf numFmtId="170" fontId="45" fillId="0" borderId="1" xfId="0" applyNumberFormat="1" applyFont="1" applyBorder="1"/>
    <xf numFmtId="0" fontId="20" fillId="0" borderId="24" xfId="0" applyFont="1" applyBorder="1" applyAlignment="1">
      <alignment horizontal="center" vertical="center" wrapText="1"/>
    </xf>
    <xf numFmtId="170" fontId="72" fillId="0" borderId="35" xfId="1" applyNumberFormat="1" applyFont="1" applyBorder="1" applyAlignment="1">
      <alignment horizontal="center" vertical="center" wrapText="1"/>
    </xf>
    <xf numFmtId="0" fontId="109" fillId="0" borderId="37" xfId="0" applyFont="1" applyFill="1" applyBorder="1" applyAlignment="1">
      <alignment horizontal="center" vertical="center" wrapText="1"/>
    </xf>
    <xf numFmtId="3" fontId="5" fillId="0" borderId="10" xfId="0" applyNumberFormat="1" applyFont="1" applyFill="1" applyBorder="1" applyAlignment="1">
      <alignment horizontal="center" vertical="center"/>
    </xf>
    <xf numFmtId="3" fontId="9" fillId="0" borderId="10" xfId="0" applyNumberFormat="1" applyFont="1" applyFill="1" applyBorder="1" applyAlignment="1">
      <alignment vertical="center"/>
    </xf>
    <xf numFmtId="3" fontId="9" fillId="0" borderId="10" xfId="0" applyNumberFormat="1" applyFont="1" applyFill="1" applyBorder="1" applyAlignment="1">
      <alignment horizontal="center" vertical="center"/>
    </xf>
    <xf numFmtId="170" fontId="9" fillId="0" borderId="10" xfId="0" applyNumberFormat="1" applyFont="1" applyBorder="1" applyAlignment="1">
      <alignment vertical="center"/>
    </xf>
    <xf numFmtId="4" fontId="5" fillId="0" borderId="10" xfId="0" applyNumberFormat="1" applyFont="1" applyBorder="1" applyAlignment="1">
      <alignment vertical="center"/>
    </xf>
    <xf numFmtId="3" fontId="20" fillId="0" borderId="0" xfId="1" applyNumberFormat="1" applyFont="1" applyBorder="1" applyAlignment="1">
      <alignment horizontal="right" vertical="center" wrapText="1"/>
    </xf>
    <xf numFmtId="0" fontId="55" fillId="23" borderId="35" xfId="0" applyFont="1" applyFill="1" applyBorder="1" applyAlignment="1">
      <alignment horizontal="center" vertical="center" wrapText="1"/>
    </xf>
    <xf numFmtId="191" fontId="5" fillId="0" borderId="35" xfId="0" applyNumberFormat="1" applyFont="1" applyBorder="1" applyAlignment="1">
      <alignment vertical="center"/>
    </xf>
    <xf numFmtId="191" fontId="5" fillId="0" borderId="37" xfId="0" applyNumberFormat="1" applyFont="1" applyBorder="1" applyAlignment="1">
      <alignment vertical="center"/>
    </xf>
    <xf numFmtId="170" fontId="45" fillId="0" borderId="37" xfId="1" applyNumberFormat="1" applyFont="1" applyBorder="1" applyAlignment="1">
      <alignment horizontal="right" vertical="center" wrapText="1"/>
    </xf>
    <xf numFmtId="3" fontId="20" fillId="0" borderId="39" xfId="1" applyNumberFormat="1" applyFont="1" applyBorder="1" applyAlignment="1">
      <alignment horizontal="right" vertical="center" wrapText="1"/>
    </xf>
    <xf numFmtId="3" fontId="20" fillId="0" borderId="40" xfId="1" applyNumberFormat="1" applyFont="1" applyBorder="1" applyAlignment="1">
      <alignment horizontal="right" vertical="center" wrapText="1"/>
    </xf>
    <xf numFmtId="0" fontId="82" fillId="0" borderId="0" xfId="0" applyFont="1" applyBorder="1" applyAlignment="1">
      <alignment vertical="center"/>
    </xf>
    <xf numFmtId="170" fontId="20" fillId="0" borderId="28" xfId="0" applyNumberFormat="1" applyFont="1" applyBorder="1" applyAlignment="1">
      <alignment horizontal="center" vertical="center"/>
    </xf>
    <xf numFmtId="0" fontId="20" fillId="0" borderId="62" xfId="0" applyFont="1" applyBorder="1" applyAlignment="1">
      <alignment horizontal="center" vertical="center"/>
    </xf>
    <xf numFmtId="0" fontId="20" fillId="0" borderId="63" xfId="0" applyFont="1" applyBorder="1" applyAlignment="1">
      <alignment horizontal="center" vertical="center"/>
    </xf>
    <xf numFmtId="0" fontId="5" fillId="0" borderId="63" xfId="0" applyFont="1" applyBorder="1" applyAlignment="1">
      <alignment horizontal="center" vertical="center"/>
    </xf>
    <xf numFmtId="0" fontId="20" fillId="0" borderId="64" xfId="0" applyFont="1" applyBorder="1" applyAlignment="1">
      <alignment horizontal="center" vertical="center"/>
    </xf>
    <xf numFmtId="0" fontId="55" fillId="23" borderId="37" xfId="0" applyFont="1" applyFill="1" applyBorder="1" applyAlignment="1">
      <alignment horizontal="center" vertical="center" wrapText="1"/>
    </xf>
    <xf numFmtId="0" fontId="45" fillId="0" borderId="35" xfId="0" applyFont="1" applyBorder="1" applyAlignment="1">
      <alignment horizontal="center" vertical="center" wrapText="1"/>
    </xf>
    <xf numFmtId="0" fontId="9" fillId="0" borderId="39" xfId="0" applyFont="1" applyBorder="1" applyAlignment="1">
      <alignment horizontal="center" vertical="center"/>
    </xf>
    <xf numFmtId="0" fontId="9" fillId="0" borderId="43" xfId="0" applyFont="1" applyBorder="1" applyAlignment="1">
      <alignment vertical="center"/>
    </xf>
    <xf numFmtId="170" fontId="20" fillId="0" borderId="43" xfId="1" applyNumberFormat="1" applyFont="1" applyBorder="1" applyAlignment="1">
      <alignment horizontal="right" vertical="center" wrapText="1"/>
    </xf>
    <xf numFmtId="170" fontId="20" fillId="0" borderId="40" xfId="1" applyNumberFormat="1" applyFont="1" applyBorder="1" applyAlignment="1">
      <alignment horizontal="right" vertical="center" wrapText="1"/>
    </xf>
    <xf numFmtId="3" fontId="45" fillId="0" borderId="37" xfId="0" applyNumberFormat="1" applyFont="1" applyBorder="1" applyAlignment="1">
      <alignment horizontal="right" vertical="center"/>
    </xf>
    <xf numFmtId="2" fontId="80" fillId="19" borderId="0" xfId="0" applyNumberFormat="1" applyFont="1" applyFill="1" applyAlignment="1">
      <alignment vertical="center"/>
    </xf>
    <xf numFmtId="0" fontId="20" fillId="23" borderId="6" xfId="0" applyFont="1" applyFill="1" applyBorder="1" applyAlignment="1">
      <alignment horizontal="center" vertical="center" wrapText="1"/>
    </xf>
    <xf numFmtId="0" fontId="45" fillId="9" borderId="17" xfId="0" applyFont="1" applyFill="1" applyBorder="1" applyAlignment="1">
      <alignment horizontal="center"/>
    </xf>
    <xf numFmtId="170" fontId="45" fillId="19" borderId="17" xfId="0" applyNumberFormat="1" applyFont="1" applyFill="1" applyBorder="1" applyAlignment="1">
      <alignment vertical="center"/>
    </xf>
    <xf numFmtId="170" fontId="45" fillId="19" borderId="18" xfId="0" applyNumberFormat="1" applyFont="1" applyFill="1" applyBorder="1" applyAlignment="1">
      <alignment vertical="center"/>
    </xf>
    <xf numFmtId="170" fontId="45" fillId="19" borderId="19" xfId="0" applyNumberFormat="1" applyFont="1" applyFill="1" applyBorder="1" applyAlignment="1">
      <alignment vertical="center"/>
    </xf>
    <xf numFmtId="0" fontId="20" fillId="0" borderId="35" xfId="0" applyFont="1" applyBorder="1" applyAlignment="1">
      <alignment horizontal="center" vertical="center"/>
    </xf>
    <xf numFmtId="0" fontId="20" fillId="0" borderId="35" xfId="0" applyFont="1" applyBorder="1" applyAlignment="1">
      <alignment horizontal="center" vertical="center" wrapText="1"/>
    </xf>
    <xf numFmtId="170" fontId="45" fillId="0" borderId="37" xfId="2" applyNumberFormat="1" applyFont="1" applyBorder="1" applyAlignment="1">
      <alignment horizontal="right" vertical="center"/>
    </xf>
    <xf numFmtId="170" fontId="45" fillId="0" borderId="35" xfId="2" applyNumberFormat="1" applyFont="1" applyBorder="1" applyAlignment="1">
      <alignment horizontal="right" vertical="center" wrapText="1"/>
    </xf>
    <xf numFmtId="170" fontId="45" fillId="0" borderId="37" xfId="2" applyNumberFormat="1" applyFont="1" applyBorder="1" applyAlignment="1">
      <alignment horizontal="right" vertical="center" wrapText="1"/>
    </xf>
    <xf numFmtId="0" fontId="22" fillId="7" borderId="0" xfId="0" applyFont="1" applyFill="1" applyBorder="1" applyAlignment="1">
      <alignment horizontal="center" vertical="center" wrapText="1"/>
    </xf>
    <xf numFmtId="166" fontId="5" fillId="0" borderId="10" xfId="1" applyNumberFormat="1" applyFont="1" applyBorder="1"/>
    <xf numFmtId="171" fontId="5" fillId="0" borderId="10" xfId="0" applyNumberFormat="1" applyFont="1" applyBorder="1" applyAlignment="1">
      <alignment vertical="center"/>
    </xf>
    <xf numFmtId="10" fontId="5" fillId="0" borderId="10" xfId="8" applyNumberFormat="1" applyFont="1" applyBorder="1" applyAlignment="1">
      <alignment vertical="center"/>
    </xf>
    <xf numFmtId="44" fontId="5" fillId="0" borderId="10" xfId="2" applyFont="1" applyBorder="1" applyAlignment="1">
      <alignment vertical="center"/>
    </xf>
    <xf numFmtId="191" fontId="5" fillId="0" borderId="10" xfId="2" applyNumberFormat="1" applyFont="1" applyBorder="1" applyAlignment="1">
      <alignment vertical="center"/>
    </xf>
    <xf numFmtId="3" fontId="45" fillId="0" borderId="37" xfId="1" applyNumberFormat="1" applyFont="1" applyBorder="1" applyAlignment="1">
      <alignment horizontal="right" vertical="center" wrapText="1"/>
    </xf>
    <xf numFmtId="0" fontId="20" fillId="23" borderId="60" xfId="0" applyFont="1" applyFill="1" applyBorder="1" applyAlignment="1">
      <alignment vertical="center" wrapText="1"/>
    </xf>
    <xf numFmtId="0" fontId="20" fillId="23" borderId="30" xfId="0" applyFont="1" applyFill="1" applyBorder="1" applyAlignment="1">
      <alignment vertical="center" wrapText="1"/>
    </xf>
    <xf numFmtId="0" fontId="55" fillId="23" borderId="67" xfId="0" applyFont="1" applyFill="1" applyBorder="1" applyAlignment="1">
      <alignment horizontal="center" vertical="center" wrapText="1"/>
    </xf>
    <xf numFmtId="3" fontId="45" fillId="0" borderId="36" xfId="0" applyNumberFormat="1" applyFont="1" applyBorder="1"/>
    <xf numFmtId="3" fontId="20" fillId="0" borderId="42" xfId="1" applyNumberFormat="1" applyFont="1" applyBorder="1" applyAlignment="1">
      <alignment horizontal="right" vertical="center" wrapText="1"/>
    </xf>
    <xf numFmtId="0" fontId="45" fillId="0" borderId="37" xfId="0" applyFont="1" applyBorder="1"/>
    <xf numFmtId="1" fontId="45" fillId="0" borderId="37" xfId="0" applyNumberFormat="1" applyFont="1" applyBorder="1"/>
    <xf numFmtId="0" fontId="45" fillId="0" borderId="43" xfId="0" applyFont="1" applyBorder="1"/>
    <xf numFmtId="170" fontId="20" fillId="0" borderId="64" xfId="0" applyNumberFormat="1" applyFont="1" applyBorder="1" applyAlignment="1">
      <alignment horizontal="center" vertical="center"/>
    </xf>
    <xf numFmtId="0" fontId="76" fillId="0" borderId="0" xfId="0" applyFont="1" applyBorder="1" applyAlignment="1">
      <alignment horizontal="left" vertical="center"/>
    </xf>
    <xf numFmtId="0" fontId="8" fillId="19" borderId="62" xfId="0" applyFont="1" applyFill="1" applyBorder="1" applyAlignment="1">
      <alignment horizontal="center" vertical="center"/>
    </xf>
    <xf numFmtId="0" fontId="8" fillId="19" borderId="63" xfId="0" applyFont="1" applyFill="1" applyBorder="1" applyAlignment="1">
      <alignment horizontal="center" vertical="center"/>
    </xf>
    <xf numFmtId="0" fontId="8" fillId="19" borderId="64" xfId="0" applyFont="1" applyFill="1" applyBorder="1" applyAlignment="1">
      <alignment horizontal="center" vertical="center"/>
    </xf>
    <xf numFmtId="0" fontId="20" fillId="19" borderId="35" xfId="0" applyFont="1" applyFill="1" applyBorder="1" applyAlignment="1">
      <alignment horizontal="center" vertical="center"/>
    </xf>
    <xf numFmtId="0" fontId="20" fillId="19" borderId="35" xfId="0" applyFont="1" applyFill="1" applyBorder="1" applyAlignment="1">
      <alignment horizontal="center" vertical="center" wrapText="1"/>
    </xf>
    <xf numFmtId="170" fontId="45" fillId="19" borderId="37" xfId="1" applyNumberFormat="1" applyFont="1" applyFill="1" applyBorder="1" applyAlignment="1">
      <alignment horizontal="right" vertical="center" wrapText="1"/>
    </xf>
    <xf numFmtId="0" fontId="9" fillId="19" borderId="39" xfId="0" applyFont="1" applyFill="1" applyBorder="1" applyAlignment="1">
      <alignment horizontal="center" vertical="center"/>
    </xf>
    <xf numFmtId="0" fontId="9" fillId="19" borderId="43" xfId="0" applyFont="1" applyFill="1" applyBorder="1" applyAlignment="1">
      <alignment vertical="center"/>
    </xf>
    <xf numFmtId="170" fontId="20" fillId="19" borderId="43" xfId="1" applyNumberFormat="1" applyFont="1" applyFill="1" applyBorder="1" applyAlignment="1">
      <alignment horizontal="right" vertical="center" wrapText="1"/>
    </xf>
    <xf numFmtId="170" fontId="20" fillId="19" borderId="40" xfId="1" applyNumberFormat="1" applyFont="1" applyFill="1" applyBorder="1" applyAlignment="1">
      <alignment horizontal="right" vertical="center" wrapText="1"/>
    </xf>
    <xf numFmtId="0" fontId="0" fillId="9" borderId="10" xfId="0" applyFill="1" applyBorder="1"/>
    <xf numFmtId="0" fontId="0" fillId="9" borderId="6" xfId="0" applyFill="1" applyBorder="1"/>
    <xf numFmtId="0" fontId="0" fillId="9" borderId="8" xfId="0" applyFill="1" applyBorder="1"/>
    <xf numFmtId="0" fontId="13" fillId="11" borderId="1" xfId="0" applyFont="1" applyFill="1" applyBorder="1" applyAlignment="1">
      <alignment horizontal="center" vertical="top"/>
    </xf>
    <xf numFmtId="0" fontId="13" fillId="11" borderId="35" xfId="0" applyFont="1" applyFill="1" applyBorder="1" applyAlignment="1">
      <alignment horizontal="left" vertical="top"/>
    </xf>
    <xf numFmtId="43" fontId="20" fillId="0" borderId="1" xfId="1" applyFont="1" applyBorder="1" applyAlignment="1">
      <alignment horizontal="center" vertical="center"/>
    </xf>
    <xf numFmtId="43" fontId="5" fillId="0" borderId="10" xfId="1" applyNumberFormat="1" applyFont="1" applyBorder="1"/>
    <xf numFmtId="43" fontId="5" fillId="0" borderId="0" xfId="1" applyNumberFormat="1" applyFont="1" applyBorder="1"/>
    <xf numFmtId="43" fontId="5" fillId="0" borderId="11" xfId="1" applyNumberFormat="1" applyFont="1" applyBorder="1"/>
    <xf numFmtId="191" fontId="5" fillId="0" borderId="13" xfId="2" applyNumberFormat="1" applyFont="1" applyBorder="1" applyAlignment="1">
      <alignment vertical="center"/>
    </xf>
    <xf numFmtId="191" fontId="5" fillId="0" borderId="14" xfId="2" applyNumberFormat="1" applyFont="1" applyBorder="1" applyAlignment="1">
      <alignment vertical="center"/>
    </xf>
    <xf numFmtId="191" fontId="5" fillId="0" borderId="15" xfId="2" applyNumberFormat="1" applyFont="1" applyBorder="1" applyAlignment="1">
      <alignment vertical="center"/>
    </xf>
    <xf numFmtId="0" fontId="55" fillId="23" borderId="61" xfId="0" applyFont="1" applyFill="1" applyBorder="1" applyAlignment="1">
      <alignment vertical="center" wrapText="1"/>
    </xf>
    <xf numFmtId="0" fontId="20" fillId="0" borderId="62" xfId="0" applyFont="1" applyBorder="1" applyAlignment="1">
      <alignment horizontal="center" vertical="center"/>
    </xf>
    <xf numFmtId="0" fontId="20" fillId="0" borderId="63" xfId="0" applyFont="1" applyBorder="1" applyAlignment="1">
      <alignment horizontal="center" vertical="center"/>
    </xf>
    <xf numFmtId="190" fontId="20" fillId="0" borderId="1" xfId="0" applyNumberFormat="1" applyFont="1" applyBorder="1" applyAlignment="1">
      <alignment horizontal="center" vertical="center"/>
    </xf>
    <xf numFmtId="0" fontId="20" fillId="0" borderId="0" xfId="0" applyFont="1" applyBorder="1"/>
    <xf numFmtId="191" fontId="0" fillId="0" borderId="0" xfId="0" applyNumberFormat="1" applyFont="1" applyBorder="1"/>
    <xf numFmtId="0" fontId="106" fillId="19" borderId="0" xfId="0" applyFont="1" applyFill="1" applyBorder="1" applyAlignment="1">
      <alignment vertical="center"/>
    </xf>
    <xf numFmtId="191" fontId="45" fillId="19" borderId="35" xfId="2" applyNumberFormat="1" applyFont="1" applyFill="1" applyBorder="1" applyAlignment="1">
      <alignment vertical="center"/>
    </xf>
    <xf numFmtId="191" fontId="45" fillId="19" borderId="1" xfId="2" applyNumberFormat="1" applyFont="1" applyFill="1" applyBorder="1" applyAlignment="1">
      <alignment vertical="center"/>
    </xf>
    <xf numFmtId="191" fontId="45" fillId="19" borderId="24" xfId="2" applyNumberFormat="1" applyFont="1" applyFill="1" applyBorder="1" applyAlignment="1">
      <alignment vertical="center"/>
    </xf>
    <xf numFmtId="191" fontId="45" fillId="19" borderId="37" xfId="2" applyNumberFormat="1" applyFont="1" applyFill="1" applyBorder="1" applyAlignment="1">
      <alignment vertical="center"/>
    </xf>
    <xf numFmtId="191" fontId="20" fillId="19" borderId="39" xfId="2" applyNumberFormat="1" applyFont="1" applyFill="1" applyBorder="1" applyAlignment="1">
      <alignment vertical="center"/>
    </xf>
    <xf numFmtId="191" fontId="20" fillId="19" borderId="43" xfId="2" applyNumberFormat="1" applyFont="1" applyFill="1" applyBorder="1" applyAlignment="1">
      <alignment vertical="center"/>
    </xf>
    <xf numFmtId="191" fontId="20" fillId="19" borderId="41" xfId="2" applyNumberFormat="1" applyFont="1" applyFill="1" applyBorder="1" applyAlignment="1">
      <alignment vertical="center"/>
    </xf>
    <xf numFmtId="191" fontId="20" fillId="19" borderId="93" xfId="2" applyNumberFormat="1" applyFont="1" applyFill="1" applyBorder="1" applyAlignment="1">
      <alignment vertical="center"/>
    </xf>
    <xf numFmtId="191" fontId="20" fillId="19" borderId="94" xfId="2" applyNumberFormat="1" applyFont="1" applyFill="1" applyBorder="1" applyAlignment="1">
      <alignment vertical="center"/>
    </xf>
    <xf numFmtId="191" fontId="20" fillId="19" borderId="92" xfId="2" applyNumberFormat="1" applyFont="1" applyFill="1" applyBorder="1" applyAlignment="1">
      <alignment vertical="center"/>
    </xf>
    <xf numFmtId="170" fontId="45" fillId="0" borderId="24" xfId="2" applyNumberFormat="1" applyFont="1" applyBorder="1" applyAlignment="1">
      <alignment horizontal="right" vertical="center" wrapText="1"/>
    </xf>
    <xf numFmtId="3" fontId="20" fillId="0" borderId="41" xfId="1" applyNumberFormat="1" applyFont="1" applyBorder="1" applyAlignment="1">
      <alignment horizontal="right" vertical="center" wrapText="1"/>
    </xf>
    <xf numFmtId="0" fontId="20" fillId="0" borderId="1" xfId="0" applyFont="1" applyBorder="1" applyAlignment="1">
      <alignment vertical="center"/>
    </xf>
    <xf numFmtId="0" fontId="9" fillId="0" borderId="60" xfId="0" applyFont="1" applyBorder="1" applyAlignment="1">
      <alignment horizontal="center" vertical="center"/>
    </xf>
    <xf numFmtId="0" fontId="9" fillId="0" borderId="30" xfId="0" applyFont="1" applyBorder="1" applyAlignment="1">
      <alignment vertical="center"/>
    </xf>
    <xf numFmtId="3" fontId="20" fillId="0" borderId="61" xfId="1" applyNumberFormat="1" applyFont="1" applyBorder="1" applyAlignment="1">
      <alignment horizontal="right" vertical="center" wrapText="1"/>
    </xf>
    <xf numFmtId="170" fontId="20" fillId="0" borderId="40" xfId="0" applyNumberFormat="1" applyFont="1" applyBorder="1" applyAlignment="1">
      <alignment horizontal="center" vertical="center"/>
    </xf>
    <xf numFmtId="0" fontId="77" fillId="0" borderId="0" xfId="0" applyFont="1" applyFill="1" applyAlignment="1">
      <alignment vertical="center"/>
    </xf>
    <xf numFmtId="0" fontId="43" fillId="0" borderId="0" xfId="0" applyFont="1" applyFill="1" applyAlignment="1">
      <alignment vertical="center"/>
    </xf>
    <xf numFmtId="0" fontId="77" fillId="0" borderId="0" xfId="0" applyFont="1" applyFill="1"/>
    <xf numFmtId="166" fontId="9" fillId="9" borderId="14" xfId="0" applyNumberFormat="1" applyFont="1" applyFill="1" applyBorder="1" applyAlignment="1">
      <alignment vertical="top"/>
    </xf>
    <xf numFmtId="166" fontId="0" fillId="0" borderId="0" xfId="0" applyNumberFormat="1" applyAlignment="1">
      <alignment horizontal="center" vertical="center"/>
    </xf>
    <xf numFmtId="168" fontId="0" fillId="0" borderId="0" xfId="0" applyNumberFormat="1" applyAlignment="1">
      <alignment horizontal="center" vertical="center"/>
    </xf>
    <xf numFmtId="170" fontId="45" fillId="0" borderId="0" xfId="0" applyNumberFormat="1" applyFont="1" applyAlignment="1">
      <alignment horizontal="center"/>
    </xf>
    <xf numFmtId="5" fontId="0" fillId="0" borderId="0" xfId="0" applyNumberFormat="1"/>
    <xf numFmtId="0" fontId="0" fillId="0" borderId="0" xfId="0" applyAlignment="1">
      <alignment horizontal="left" vertical="center"/>
    </xf>
    <xf numFmtId="0" fontId="45" fillId="0" borderId="0" xfId="0" applyFont="1" applyBorder="1" applyAlignment="1">
      <alignment vertical="center" wrapText="1"/>
    </xf>
    <xf numFmtId="2" fontId="5" fillId="0" borderId="0" xfId="0" applyNumberFormat="1" applyFont="1" applyBorder="1" applyAlignment="1">
      <alignment horizontal="center" vertical="center"/>
    </xf>
    <xf numFmtId="7" fontId="5" fillId="0" borderId="0" xfId="0" applyNumberFormat="1" applyFont="1" applyBorder="1" applyAlignment="1">
      <alignment horizontal="center" vertical="center"/>
    </xf>
    <xf numFmtId="0" fontId="22" fillId="0" borderId="45" xfId="0" applyFont="1" applyBorder="1" applyAlignment="1">
      <alignment horizontal="center" vertical="center"/>
    </xf>
    <xf numFmtId="0" fontId="22" fillId="0" borderId="46" xfId="0" applyFont="1" applyBorder="1" applyAlignment="1">
      <alignment horizontal="center" vertical="center"/>
    </xf>
    <xf numFmtId="0" fontId="0" fillId="0" borderId="35" xfId="0" applyBorder="1" applyAlignment="1">
      <alignment horizontal="center" vertical="center"/>
    </xf>
    <xf numFmtId="9" fontId="0" fillId="0" borderId="37" xfId="8" applyFont="1"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37" xfId="0" applyBorder="1" applyAlignment="1">
      <alignment horizontal="center" vertical="center"/>
    </xf>
    <xf numFmtId="2" fontId="0" fillId="0" borderId="37" xfId="0" applyNumberFormat="1" applyBorder="1" applyAlignment="1">
      <alignment horizontal="center" vertical="center"/>
    </xf>
    <xf numFmtId="0" fontId="22" fillId="0" borderId="62" xfId="0" applyFont="1" applyBorder="1" applyAlignment="1">
      <alignment horizontal="center" vertical="center"/>
    </xf>
    <xf numFmtId="0" fontId="22" fillId="0" borderId="64" xfId="0" applyFont="1" applyBorder="1" applyAlignment="1">
      <alignment horizontal="center" vertical="center"/>
    </xf>
    <xf numFmtId="0" fontId="22" fillId="0" borderId="35" xfId="0" applyFont="1" applyBorder="1" applyAlignment="1">
      <alignment horizontal="center" vertical="center"/>
    </xf>
    <xf numFmtId="0" fontId="20" fillId="0" borderId="1" xfId="0" applyFont="1" applyBorder="1" applyAlignment="1">
      <alignment horizontal="center" vertical="center"/>
    </xf>
    <xf numFmtId="0" fontId="55" fillId="23" borderId="1" xfId="0" applyFont="1" applyFill="1" applyBorder="1" applyAlignment="1">
      <alignment horizontal="center" vertical="center" wrapText="1"/>
    </xf>
    <xf numFmtId="0" fontId="20" fillId="23" borderId="30" xfId="0" applyFont="1" applyFill="1" applyBorder="1" applyAlignment="1">
      <alignment horizontal="center" vertical="center" wrapText="1"/>
    </xf>
    <xf numFmtId="0" fontId="20" fillId="0" borderId="1" xfId="0" applyFont="1" applyBorder="1" applyAlignment="1">
      <alignment horizontal="center" vertical="center"/>
    </xf>
    <xf numFmtId="0" fontId="20" fillId="0" borderId="0" xfId="0" applyFont="1" applyBorder="1" applyAlignment="1">
      <alignment horizontal="center" vertical="center" wrapText="1"/>
    </xf>
    <xf numFmtId="191" fontId="45" fillId="0" borderId="0" xfId="2" applyNumberFormat="1" applyFont="1" applyBorder="1"/>
    <xf numFmtId="191" fontId="45" fillId="0" borderId="0" xfId="0" applyNumberFormat="1" applyFont="1" applyBorder="1"/>
    <xf numFmtId="191" fontId="72" fillId="0" borderId="0" xfId="0" applyNumberFormat="1" applyFont="1" applyAlignment="1">
      <alignment horizontal="left" vertical="center"/>
    </xf>
    <xf numFmtId="43" fontId="0" fillId="19" borderId="0" xfId="0" applyNumberFormat="1" applyFill="1"/>
    <xf numFmtId="9" fontId="74" fillId="0" borderId="1" xfId="8" applyFont="1" applyFill="1" applyBorder="1" applyAlignment="1">
      <alignment horizontal="center" vertical="center" wrapText="1"/>
    </xf>
    <xf numFmtId="9" fontId="73" fillId="0" borderId="1" xfId="8" applyFont="1" applyFill="1" applyBorder="1" applyAlignment="1">
      <alignment horizontal="center" vertical="center"/>
    </xf>
    <xf numFmtId="0" fontId="74" fillId="0" borderId="1" xfId="0" applyFont="1" applyFill="1" applyBorder="1" applyAlignment="1">
      <alignment horizontal="center" vertical="center" wrapText="1"/>
    </xf>
    <xf numFmtId="0" fontId="72" fillId="0" borderId="1" xfId="0" applyFont="1" applyFill="1" applyBorder="1" applyAlignment="1">
      <alignment horizontal="center" vertical="center" wrapText="1"/>
    </xf>
    <xf numFmtId="0" fontId="72" fillId="0" borderId="1" xfId="0" applyFont="1" applyFill="1" applyBorder="1" applyAlignment="1">
      <alignment horizontal="center" vertical="center"/>
    </xf>
    <xf numFmtId="170" fontId="72" fillId="0" borderId="1" xfId="1" applyNumberFormat="1" applyFont="1" applyFill="1" applyBorder="1" applyAlignment="1">
      <alignment horizontal="right" vertical="center" wrapText="1"/>
    </xf>
    <xf numFmtId="170" fontId="72" fillId="0" borderId="1" xfId="2" applyNumberFormat="1" applyFont="1" applyFill="1" applyBorder="1" applyAlignment="1">
      <alignment horizontal="center" vertical="center"/>
    </xf>
    <xf numFmtId="170" fontId="72" fillId="0" borderId="1" xfId="0" applyNumberFormat="1" applyFont="1" applyFill="1" applyBorder="1" applyAlignment="1">
      <alignment horizontal="center" vertical="center"/>
    </xf>
    <xf numFmtId="170" fontId="72" fillId="0" borderId="1" xfId="0" applyNumberFormat="1" applyFont="1" applyFill="1" applyBorder="1" applyAlignment="1">
      <alignment vertical="center"/>
    </xf>
    <xf numFmtId="0" fontId="73" fillId="0" borderId="1" xfId="0" applyFont="1" applyFill="1" applyBorder="1" applyAlignment="1">
      <alignment horizontal="left" vertical="center"/>
    </xf>
    <xf numFmtId="0" fontId="73" fillId="0" borderId="1" xfId="0" applyFont="1" applyFill="1" applyBorder="1" applyAlignment="1">
      <alignment vertical="center"/>
    </xf>
    <xf numFmtId="170" fontId="73" fillId="0" borderId="1" xfId="1" applyNumberFormat="1" applyFont="1" applyFill="1" applyBorder="1" applyAlignment="1">
      <alignment horizontal="right" vertical="center" wrapText="1"/>
    </xf>
    <xf numFmtId="170" fontId="73" fillId="0" borderId="1" xfId="0" applyNumberFormat="1" applyFont="1" applyFill="1" applyBorder="1" applyAlignment="1">
      <alignment horizontal="center" vertical="center"/>
    </xf>
    <xf numFmtId="170" fontId="72" fillId="0" borderId="1" xfId="0" applyNumberFormat="1" applyFont="1" applyBorder="1" applyAlignment="1">
      <alignment horizontal="left" vertical="center"/>
    </xf>
    <xf numFmtId="0" fontId="20" fillId="0" borderId="1" xfId="0" applyFont="1" applyBorder="1" applyAlignment="1">
      <alignment horizontal="center" vertical="center"/>
    </xf>
    <xf numFmtId="0" fontId="74" fillId="2" borderId="37" xfId="0" applyFont="1" applyFill="1" applyBorder="1" applyAlignment="1">
      <alignment horizontal="center" vertical="center" wrapText="1"/>
    </xf>
    <xf numFmtId="0" fontId="55" fillId="23" borderId="1" xfId="0" applyFont="1" applyFill="1" applyBorder="1" applyAlignment="1">
      <alignment horizontal="center" vertical="center" wrapText="1"/>
    </xf>
    <xf numFmtId="0" fontId="55" fillId="23" borderId="37" xfId="0" applyFont="1" applyFill="1" applyBorder="1" applyAlignment="1">
      <alignment horizontal="center" vertical="center" wrapText="1"/>
    </xf>
    <xf numFmtId="0" fontId="73" fillId="0" borderId="1" xfId="0" applyFont="1" applyBorder="1" applyAlignment="1">
      <alignment horizontal="center" vertical="center"/>
    </xf>
    <xf numFmtId="0" fontId="72" fillId="0" borderId="1" xfId="0" applyFont="1" applyBorder="1" applyAlignment="1">
      <alignment horizontal="center" vertical="center"/>
    </xf>
    <xf numFmtId="9" fontId="74" fillId="2" borderId="1" xfId="8" applyFont="1" applyFill="1" applyBorder="1" applyAlignment="1">
      <alignment horizontal="center" vertical="center" wrapText="1"/>
    </xf>
    <xf numFmtId="0" fontId="74" fillId="2" borderId="1" xfId="0" applyFont="1" applyFill="1" applyBorder="1" applyAlignment="1">
      <alignment horizontal="center" vertical="center" wrapText="1"/>
    </xf>
    <xf numFmtId="170" fontId="72" fillId="0" borderId="1" xfId="2" applyNumberFormat="1" applyFont="1" applyBorder="1" applyAlignment="1">
      <alignment horizontal="center" vertical="center"/>
    </xf>
    <xf numFmtId="0" fontId="45" fillId="19" borderId="43" xfId="0" applyFont="1" applyFill="1" applyBorder="1" applyAlignment="1">
      <alignment vertical="center"/>
    </xf>
    <xf numFmtId="166" fontId="45" fillId="19" borderId="1" xfId="1" applyNumberFormat="1" applyFont="1" applyFill="1" applyBorder="1" applyAlignment="1">
      <alignment vertical="center"/>
    </xf>
    <xf numFmtId="166" fontId="72" fillId="0" borderId="1" xfId="1" applyNumberFormat="1" applyFont="1" applyBorder="1" applyAlignment="1">
      <alignment horizontal="right" vertical="center" wrapText="1"/>
    </xf>
    <xf numFmtId="191" fontId="72" fillId="0" borderId="1" xfId="2" applyNumberFormat="1" applyFont="1" applyBorder="1" applyAlignment="1">
      <alignment horizontal="right" vertical="center" wrapText="1"/>
    </xf>
    <xf numFmtId="5" fontId="72" fillId="0" borderId="37" xfId="0" applyNumberFormat="1" applyFont="1" applyFill="1" applyBorder="1" applyAlignment="1">
      <alignment horizontal="center" vertical="center"/>
    </xf>
    <xf numFmtId="5" fontId="73" fillId="2" borderId="40" xfId="0" applyNumberFormat="1" applyFont="1" applyFill="1" applyBorder="1" applyAlignment="1">
      <alignment horizontal="center" vertical="center"/>
    </xf>
    <xf numFmtId="9" fontId="73" fillId="2" borderId="1" xfId="8" applyFont="1" applyFill="1" applyBorder="1" applyAlignment="1">
      <alignment horizontal="center" vertical="center"/>
    </xf>
    <xf numFmtId="5" fontId="72" fillId="0" borderId="1" xfId="1" applyNumberFormat="1" applyFont="1" applyBorder="1" applyAlignment="1">
      <alignment horizontal="right" vertical="center" wrapText="1"/>
    </xf>
    <xf numFmtId="5" fontId="72" fillId="0" borderId="1" xfId="2" applyNumberFormat="1" applyFont="1" applyBorder="1" applyAlignment="1">
      <alignment horizontal="center" vertical="center"/>
    </xf>
    <xf numFmtId="5" fontId="73" fillId="25" borderId="43" xfId="1" applyNumberFormat="1" applyFont="1" applyFill="1" applyBorder="1" applyAlignment="1">
      <alignment horizontal="right" vertical="center" wrapText="1"/>
    </xf>
    <xf numFmtId="5" fontId="73" fillId="2" borderId="43" xfId="0" applyNumberFormat="1" applyFont="1" applyFill="1" applyBorder="1" applyAlignment="1">
      <alignment horizontal="center" vertical="center"/>
    </xf>
    <xf numFmtId="0" fontId="73" fillId="0" borderId="39" xfId="0" applyFont="1" applyFill="1" applyBorder="1" applyAlignment="1">
      <alignment horizontal="left" vertical="center"/>
    </xf>
    <xf numFmtId="0" fontId="73" fillId="0" borderId="43" xfId="0" applyFont="1" applyFill="1" applyBorder="1" applyAlignment="1">
      <alignment vertical="center"/>
    </xf>
    <xf numFmtId="5" fontId="73" fillId="25" borderId="43" xfId="0" applyNumberFormat="1" applyFont="1" applyFill="1" applyBorder="1" applyAlignment="1">
      <alignment horizontal="center" vertical="center"/>
    </xf>
    <xf numFmtId="191" fontId="72" fillId="0" borderId="37" xfId="2" applyNumberFormat="1" applyFont="1" applyBorder="1" applyAlignment="1">
      <alignment horizontal="right" vertical="center" wrapText="1"/>
    </xf>
    <xf numFmtId="0" fontId="73" fillId="0" borderId="37" xfId="0" applyFont="1" applyBorder="1" applyAlignment="1">
      <alignment horizontal="center" vertical="center"/>
    </xf>
    <xf numFmtId="43" fontId="45" fillId="19" borderId="6" xfId="1" applyNumberFormat="1" applyFont="1" applyFill="1" applyBorder="1" applyAlignment="1">
      <alignment vertical="center"/>
    </xf>
    <xf numFmtId="43" fontId="45" fillId="19" borderId="7" xfId="1" applyNumberFormat="1" applyFont="1" applyFill="1" applyBorder="1" applyAlignment="1">
      <alignment vertical="center"/>
    </xf>
    <xf numFmtId="43" fontId="45" fillId="19" borderId="8" xfId="1" applyNumberFormat="1" applyFont="1" applyFill="1" applyBorder="1" applyAlignment="1">
      <alignment vertical="center"/>
    </xf>
    <xf numFmtId="43" fontId="45" fillId="19" borderId="10" xfId="1" applyNumberFormat="1" applyFont="1" applyFill="1" applyBorder="1" applyAlignment="1">
      <alignment vertical="center"/>
    </xf>
    <xf numFmtId="43" fontId="45" fillId="19" borderId="11" xfId="1" applyNumberFormat="1" applyFont="1" applyFill="1" applyBorder="1" applyAlignment="1">
      <alignment vertical="center"/>
    </xf>
    <xf numFmtId="43" fontId="45" fillId="19" borderId="13" xfId="1" applyNumberFormat="1" applyFont="1" applyFill="1" applyBorder="1" applyAlignment="1">
      <alignment vertical="center"/>
    </xf>
    <xf numFmtId="43" fontId="45" fillId="19" borderId="15" xfId="1" applyNumberFormat="1" applyFont="1" applyFill="1" applyBorder="1" applyAlignment="1">
      <alignment vertical="center"/>
    </xf>
    <xf numFmtId="2" fontId="45" fillId="19" borderId="6" xfId="0" applyNumberFormat="1" applyFont="1" applyFill="1" applyBorder="1" applyAlignment="1">
      <alignment vertical="top"/>
    </xf>
    <xf numFmtId="2" fontId="45" fillId="19" borderId="10" xfId="0" applyNumberFormat="1" applyFont="1" applyFill="1" applyBorder="1" applyAlignment="1">
      <alignment vertical="top"/>
    </xf>
    <xf numFmtId="2" fontId="45" fillId="19" borderId="13" xfId="0" applyNumberFormat="1" applyFont="1" applyFill="1" applyBorder="1" applyAlignment="1">
      <alignment vertical="top"/>
    </xf>
    <xf numFmtId="2" fontId="45" fillId="19" borderId="15" xfId="0" applyNumberFormat="1" applyFont="1" applyFill="1" applyBorder="1" applyAlignment="1">
      <alignment vertical="top"/>
    </xf>
    <xf numFmtId="2" fontId="45" fillId="19" borderId="6" xfId="0" applyNumberFormat="1" applyFont="1" applyFill="1" applyBorder="1" applyAlignment="1">
      <alignment vertical="center"/>
    </xf>
    <xf numFmtId="2" fontId="45" fillId="19" borderId="10" xfId="0" applyNumberFormat="1" applyFont="1" applyFill="1" applyBorder="1" applyAlignment="1">
      <alignment vertical="center"/>
    </xf>
    <xf numFmtId="2" fontId="45" fillId="19" borderId="13" xfId="0" applyNumberFormat="1" applyFont="1" applyFill="1" applyBorder="1" applyAlignment="1">
      <alignment vertical="center"/>
    </xf>
    <xf numFmtId="2" fontId="45" fillId="19" borderId="15" xfId="0" applyNumberFormat="1" applyFont="1" applyFill="1" applyBorder="1" applyAlignment="1">
      <alignment vertical="center"/>
    </xf>
    <xf numFmtId="181" fontId="45" fillId="19" borderId="6" xfId="1" applyNumberFormat="1" applyFont="1" applyFill="1" applyBorder="1" applyAlignment="1">
      <alignment vertical="center"/>
    </xf>
    <xf numFmtId="181" fontId="45" fillId="19" borderId="10" xfId="1" applyNumberFormat="1" applyFont="1" applyFill="1" applyBorder="1" applyAlignment="1">
      <alignment vertical="center"/>
    </xf>
    <xf numFmtId="181" fontId="45" fillId="19" borderId="13" xfId="1" applyNumberFormat="1" applyFont="1" applyFill="1" applyBorder="1" applyAlignment="1">
      <alignment vertical="center"/>
    </xf>
    <xf numFmtId="181" fontId="45" fillId="19" borderId="6" xfId="1" applyNumberFormat="1" applyFont="1" applyFill="1" applyBorder="1" applyAlignment="1">
      <alignment vertical="top"/>
    </xf>
    <xf numFmtId="181" fontId="45" fillId="19" borderId="10" xfId="1" applyNumberFormat="1" applyFont="1" applyFill="1" applyBorder="1" applyAlignment="1">
      <alignment vertical="top"/>
    </xf>
    <xf numFmtId="181" fontId="45" fillId="19" borderId="13" xfId="1" applyNumberFormat="1" applyFont="1" applyFill="1" applyBorder="1" applyAlignment="1">
      <alignment vertical="top"/>
    </xf>
    <xf numFmtId="191" fontId="22" fillId="0" borderId="1" xfId="2" applyNumberFormat="1" applyFont="1" applyBorder="1"/>
    <xf numFmtId="3" fontId="72" fillId="0" borderId="0" xfId="0" applyNumberFormat="1" applyFont="1" applyFill="1" applyBorder="1" applyAlignment="1">
      <alignment horizontal="left" vertical="center"/>
    </xf>
    <xf numFmtId="37" fontId="0" fillId="9" borderId="11" xfId="0" applyNumberFormat="1" applyFill="1" applyBorder="1"/>
    <xf numFmtId="191" fontId="9" fillId="9" borderId="11" xfId="2" applyNumberFormat="1" applyFont="1" applyFill="1" applyBorder="1" applyAlignment="1">
      <alignment vertical="top"/>
    </xf>
    <xf numFmtId="191" fontId="9" fillId="9" borderId="19" xfId="2" applyNumberFormat="1" applyFont="1" applyFill="1" applyBorder="1" applyAlignment="1">
      <alignment vertical="top"/>
    </xf>
    <xf numFmtId="191" fontId="72" fillId="0" borderId="0" xfId="0" applyNumberFormat="1" applyFont="1" applyBorder="1" applyAlignment="1">
      <alignment horizontal="left" vertical="center"/>
    </xf>
    <xf numFmtId="3" fontId="73" fillId="25" borderId="43" xfId="0" applyNumberFormat="1" applyFont="1" applyFill="1" applyBorder="1" applyAlignment="1">
      <alignment horizontal="center" vertical="center"/>
    </xf>
    <xf numFmtId="5" fontId="72" fillId="0" borderId="1" xfId="0" applyNumberFormat="1" applyFont="1" applyBorder="1" applyAlignment="1">
      <alignment horizontal="right" vertical="center"/>
    </xf>
    <xf numFmtId="5" fontId="72" fillId="0" borderId="37" xfId="0" applyNumberFormat="1" applyFont="1" applyBorder="1" applyAlignment="1">
      <alignment horizontal="right" vertical="center"/>
    </xf>
    <xf numFmtId="5" fontId="73" fillId="0" borderId="43" xfId="0" applyNumberFormat="1" applyFont="1" applyBorder="1" applyAlignment="1">
      <alignment horizontal="right" vertical="center"/>
    </xf>
    <xf numFmtId="5" fontId="73" fillId="0" borderId="40" xfId="0" applyNumberFormat="1" applyFont="1" applyBorder="1" applyAlignment="1">
      <alignment horizontal="right" vertical="center"/>
    </xf>
    <xf numFmtId="0" fontId="55" fillId="23" borderId="1" xfId="0" applyFont="1" applyFill="1" applyBorder="1" applyAlignment="1">
      <alignment horizontal="center" vertical="center" wrapText="1"/>
    </xf>
    <xf numFmtId="0" fontId="55" fillId="23" borderId="37" xfId="0" applyFont="1" applyFill="1" applyBorder="1" applyAlignment="1">
      <alignment horizontal="center" vertical="center" wrapText="1"/>
    </xf>
    <xf numFmtId="0" fontId="20" fillId="0" borderId="62" xfId="0" applyFont="1" applyBorder="1" applyAlignment="1">
      <alignment horizontal="center" vertical="center"/>
    </xf>
    <xf numFmtId="0" fontId="20" fillId="0" borderId="63" xfId="0" applyFont="1" applyBorder="1" applyAlignment="1">
      <alignment horizontal="center" vertical="center"/>
    </xf>
    <xf numFmtId="9" fontId="0" fillId="0" borderId="1" xfId="8" applyFont="1" applyBorder="1" applyAlignment="1">
      <alignment horizontal="center" vertical="center"/>
    </xf>
    <xf numFmtId="0" fontId="0" fillId="0" borderId="64" xfId="0" applyBorder="1" applyAlignment="1">
      <alignment horizontal="center" vertical="center"/>
    </xf>
    <xf numFmtId="2" fontId="0" fillId="0" borderId="43" xfId="0" applyNumberFormat="1" applyBorder="1" applyAlignment="1">
      <alignment horizontal="center"/>
    </xf>
    <xf numFmtId="0" fontId="20" fillId="0" borderId="1" xfId="0" applyFont="1" applyFill="1" applyBorder="1" applyAlignment="1">
      <alignment horizontal="center" vertical="center" wrapText="1"/>
    </xf>
    <xf numFmtId="166" fontId="22" fillId="0" borderId="1" xfId="1" applyNumberFormat="1" applyFont="1" applyBorder="1"/>
    <xf numFmtId="166" fontId="0" fillId="7" borderId="1" xfId="1" applyNumberFormat="1" applyFont="1" applyFill="1" applyBorder="1"/>
    <xf numFmtId="166" fontId="22" fillId="7" borderId="0" xfId="1" applyNumberFormat="1" applyFont="1" applyFill="1" applyBorder="1"/>
    <xf numFmtId="0" fontId="8" fillId="0" borderId="10" xfId="0" applyFont="1" applyBorder="1" applyAlignment="1">
      <alignment vertical="center" wrapText="1"/>
    </xf>
    <xf numFmtId="0" fontId="8" fillId="0" borderId="10" xfId="0" applyFont="1" applyBorder="1" applyAlignment="1">
      <alignment vertical="center"/>
    </xf>
    <xf numFmtId="0" fontId="9" fillId="0" borderId="0" xfId="0" applyFont="1" applyBorder="1" applyAlignment="1">
      <alignment vertical="center"/>
    </xf>
    <xf numFmtId="10" fontId="9" fillId="0" borderId="10" xfId="8" applyNumberFormat="1" applyFont="1" applyBorder="1" applyAlignment="1">
      <alignment vertical="center"/>
    </xf>
    <xf numFmtId="10" fontId="9" fillId="0" borderId="0" xfId="8" applyNumberFormat="1" applyFont="1" applyBorder="1" applyAlignment="1">
      <alignment vertical="center"/>
    </xf>
    <xf numFmtId="10" fontId="9" fillId="0" borderId="11" xfId="8" applyNumberFormat="1" applyFont="1" applyBorder="1" applyAlignment="1">
      <alignment vertical="center"/>
    </xf>
    <xf numFmtId="0" fontId="8" fillId="0" borderId="10" xfId="0" applyFont="1" applyFill="1" applyBorder="1" applyAlignment="1">
      <alignment vertical="center"/>
    </xf>
    <xf numFmtId="0" fontId="5" fillId="0" borderId="0" xfId="0" applyFont="1" applyFill="1" applyBorder="1" applyAlignment="1">
      <alignment horizontal="left" vertical="center"/>
    </xf>
    <xf numFmtId="0" fontId="5" fillId="0" borderId="0" xfId="0" applyFont="1" applyBorder="1" applyAlignment="1">
      <alignment horizontal="left" vertical="center"/>
    </xf>
    <xf numFmtId="0" fontId="9" fillId="0" borderId="0" xfId="0" applyFont="1" applyBorder="1" applyAlignment="1">
      <alignment horizontal="left" vertical="center"/>
    </xf>
    <xf numFmtId="0" fontId="45" fillId="0" borderId="0" xfId="0" applyFont="1" applyBorder="1" applyAlignment="1">
      <alignment horizontal="left"/>
    </xf>
    <xf numFmtId="0" fontId="9" fillId="0" borderId="0" xfId="0" quotePrefix="1" applyFont="1" applyBorder="1" applyAlignment="1">
      <alignment horizontal="left" vertical="center"/>
    </xf>
    <xf numFmtId="0" fontId="20" fillId="0" borderId="28" xfId="0" applyFont="1" applyBorder="1" applyAlignment="1">
      <alignment vertical="center"/>
    </xf>
    <xf numFmtId="0" fontId="20" fillId="23" borderId="1" xfId="0" applyFont="1" applyFill="1" applyBorder="1" applyAlignment="1">
      <alignment vertical="center" wrapText="1"/>
    </xf>
    <xf numFmtId="0" fontId="45" fillId="0" borderId="63" xfId="0" applyFont="1" applyBorder="1"/>
    <xf numFmtId="0" fontId="45" fillId="0" borderId="64" xfId="0" applyFont="1" applyBorder="1"/>
    <xf numFmtId="0" fontId="20" fillId="23" borderId="35" xfId="0" applyFont="1" applyFill="1" applyBorder="1" applyAlignment="1">
      <alignment vertical="center" wrapText="1"/>
    </xf>
    <xf numFmtId="0" fontId="20" fillId="0" borderId="28" xfId="0" applyFont="1" applyBorder="1" applyAlignment="1">
      <alignment horizontal="left" vertical="center" wrapText="1"/>
    </xf>
    <xf numFmtId="0" fontId="20" fillId="0" borderId="1" xfId="0" applyFont="1" applyBorder="1" applyAlignment="1">
      <alignment horizontal="left" vertical="center" wrapText="1"/>
    </xf>
    <xf numFmtId="0" fontId="74" fillId="2" borderId="1" xfId="0" applyFont="1" applyFill="1" applyBorder="1" applyAlignment="1">
      <alignment horizontal="center" vertical="center" wrapText="1"/>
    </xf>
    <xf numFmtId="0" fontId="74" fillId="2" borderId="37" xfId="0" applyFont="1" applyFill="1" applyBorder="1" applyAlignment="1">
      <alignment horizontal="center" vertical="center" wrapText="1"/>
    </xf>
    <xf numFmtId="0" fontId="74" fillId="2" borderId="35" xfId="0" applyFont="1" applyFill="1" applyBorder="1" applyAlignment="1">
      <alignment horizontal="center" vertical="center" wrapText="1"/>
    </xf>
    <xf numFmtId="0" fontId="55" fillId="23" borderId="1" xfId="0" applyFont="1" applyFill="1" applyBorder="1" applyAlignment="1">
      <alignment horizontal="center" vertical="center" wrapText="1"/>
    </xf>
    <xf numFmtId="10" fontId="5" fillId="0" borderId="0" xfId="8" applyNumberFormat="1" applyFont="1" applyAlignment="1">
      <alignment vertical="top"/>
    </xf>
    <xf numFmtId="10" fontId="20" fillId="0" borderId="1" xfId="8" applyNumberFormat="1" applyFont="1" applyFill="1" applyBorder="1" applyAlignment="1">
      <alignment vertical="center" wrapText="1"/>
    </xf>
    <xf numFmtId="2" fontId="45" fillId="0" borderId="0" xfId="0" applyNumberFormat="1" applyFont="1" applyBorder="1"/>
    <xf numFmtId="2" fontId="45" fillId="0" borderId="10" xfId="0" applyNumberFormat="1" applyFont="1" applyBorder="1"/>
    <xf numFmtId="2" fontId="45" fillId="0" borderId="11" xfId="0" applyNumberFormat="1" applyFont="1" applyBorder="1"/>
    <xf numFmtId="0" fontId="9" fillId="9" borderId="13" xfId="0" quotePrefix="1" applyFont="1" applyFill="1" applyBorder="1" applyAlignment="1">
      <alignment vertical="top" wrapText="1"/>
    </xf>
    <xf numFmtId="0" fontId="73" fillId="0" borderId="1" xfId="0" applyFont="1" applyFill="1" applyBorder="1" applyAlignment="1">
      <alignment horizontal="center" vertical="center"/>
    </xf>
    <xf numFmtId="0" fontId="72" fillId="0" borderId="1" xfId="74" applyFont="1" applyBorder="1" applyAlignment="1">
      <alignment horizontal="center" wrapText="1"/>
    </xf>
    <xf numFmtId="0" fontId="73" fillId="0" borderId="35" xfId="0" applyFont="1" applyBorder="1" applyAlignment="1">
      <alignment horizontal="center" vertical="center"/>
    </xf>
    <xf numFmtId="0" fontId="73" fillId="0" borderId="37" xfId="0" applyFont="1" applyFill="1" applyBorder="1" applyAlignment="1">
      <alignment horizontal="center" vertical="center"/>
    </xf>
    <xf numFmtId="170" fontId="73" fillId="25" borderId="43" xfId="1" applyNumberFormat="1" applyFont="1" applyFill="1" applyBorder="1" applyAlignment="1">
      <alignment horizontal="center" vertical="center" wrapText="1"/>
    </xf>
    <xf numFmtId="0" fontId="13" fillId="11" borderId="45" xfId="0" applyFont="1" applyFill="1" applyBorder="1" applyAlignment="1">
      <alignment horizontal="left" vertical="top"/>
    </xf>
    <xf numFmtId="0" fontId="13" fillId="11" borderId="46" xfId="0" applyFont="1" applyFill="1" applyBorder="1" applyAlignment="1">
      <alignment horizontal="left" vertical="top"/>
    </xf>
    <xf numFmtId="0" fontId="13" fillId="2" borderId="62" xfId="0" applyFont="1" applyFill="1" applyBorder="1" applyAlignment="1">
      <alignment horizontal="left" vertical="top"/>
    </xf>
    <xf numFmtId="0" fontId="13" fillId="2" borderId="64" xfId="0" applyFont="1" applyFill="1" applyBorder="1" applyAlignment="1">
      <alignment horizontal="left" vertical="top"/>
    </xf>
    <xf numFmtId="0" fontId="13" fillId="2" borderId="35" xfId="0" applyFont="1" applyFill="1" applyBorder="1" applyAlignment="1">
      <alignment horizontal="left" vertical="top"/>
    </xf>
    <xf numFmtId="0" fontId="13" fillId="2" borderId="37" xfId="0" applyFont="1" applyFill="1" applyBorder="1" applyAlignment="1">
      <alignment horizontal="left" vertical="top"/>
    </xf>
    <xf numFmtId="191" fontId="20" fillId="0" borderId="0" xfId="2" applyNumberFormat="1" applyFont="1" applyFill="1" applyBorder="1" applyAlignment="1">
      <alignment vertical="center" wrapText="1"/>
    </xf>
    <xf numFmtId="0" fontId="78" fillId="17" borderId="6" xfId="0" applyFont="1" applyFill="1" applyBorder="1" applyAlignment="1">
      <alignment vertical="top"/>
    </xf>
    <xf numFmtId="0" fontId="45" fillId="0" borderId="7" xfId="0" applyFont="1" applyBorder="1"/>
    <xf numFmtId="0" fontId="45" fillId="0" borderId="8" xfId="0" applyFont="1" applyBorder="1"/>
    <xf numFmtId="0" fontId="45" fillId="0" borderId="13" xfId="0" applyFont="1" applyBorder="1"/>
    <xf numFmtId="10" fontId="45" fillId="0" borderId="14" xfId="0" applyNumberFormat="1" applyFont="1" applyBorder="1"/>
    <xf numFmtId="0" fontId="45" fillId="0" borderId="14" xfId="0" applyFont="1" applyBorder="1"/>
    <xf numFmtId="0" fontId="45" fillId="0" borderId="15" xfId="0" applyFont="1" applyBorder="1"/>
    <xf numFmtId="183" fontId="45" fillId="0" borderId="0" xfId="2" applyNumberFormat="1" applyFont="1" applyBorder="1"/>
    <xf numFmtId="191" fontId="20" fillId="0" borderId="7" xfId="2" applyNumberFormat="1" applyFont="1" applyFill="1" applyBorder="1" applyAlignment="1">
      <alignment vertical="center" wrapText="1"/>
    </xf>
    <xf numFmtId="183" fontId="45" fillId="0" borderId="11" xfId="2" applyNumberFormat="1" applyFont="1" applyBorder="1"/>
    <xf numFmtId="191" fontId="45" fillId="0" borderId="11" xfId="2" applyNumberFormat="1" applyFont="1" applyBorder="1"/>
    <xf numFmtId="9" fontId="20" fillId="0" borderId="0" xfId="0" applyNumberFormat="1" applyFont="1" applyFill="1" applyBorder="1" applyAlignment="1">
      <alignment horizontal="center" vertical="center" wrapText="1"/>
    </xf>
    <xf numFmtId="0" fontId="78" fillId="17" borderId="6" xfId="0" applyFont="1" applyFill="1" applyBorder="1" applyAlignment="1">
      <alignment vertical="top" wrapText="1"/>
    </xf>
    <xf numFmtId="0" fontId="20" fillId="0" borderId="7" xfId="0" applyFont="1" applyFill="1" applyBorder="1" applyAlignment="1">
      <alignment vertical="center" wrapText="1"/>
    </xf>
    <xf numFmtId="9" fontId="20" fillId="0" borderId="14" xfId="0" applyNumberFormat="1" applyFont="1" applyFill="1" applyBorder="1" applyAlignment="1">
      <alignment horizontal="center" vertical="center" wrapText="1"/>
    </xf>
    <xf numFmtId="0" fontId="20" fillId="0" borderId="14" xfId="0" applyFont="1" applyFill="1" applyBorder="1" applyAlignment="1">
      <alignment horizontal="center" vertical="center" wrapText="1"/>
    </xf>
    <xf numFmtId="180" fontId="45" fillId="0" borderId="7" xfId="0" applyNumberFormat="1" applyFont="1" applyBorder="1"/>
    <xf numFmtId="180" fontId="45" fillId="0" borderId="8" xfId="0" applyNumberFormat="1" applyFont="1" applyBorder="1"/>
    <xf numFmtId="180" fontId="45" fillId="0" borderId="0" xfId="0" applyNumberFormat="1" applyFont="1" applyBorder="1"/>
    <xf numFmtId="180" fontId="45" fillId="0" borderId="11" xfId="0" applyNumberFormat="1" applyFont="1" applyBorder="1"/>
    <xf numFmtId="180" fontId="45" fillId="0" borderId="14" xfId="0" applyNumberFormat="1" applyFont="1" applyBorder="1"/>
    <xf numFmtId="180" fontId="45" fillId="0" borderId="15" xfId="0" applyNumberFormat="1" applyFont="1" applyBorder="1"/>
    <xf numFmtId="191" fontId="72" fillId="0" borderId="1" xfId="0" applyNumberFormat="1" applyFont="1" applyBorder="1" applyAlignment="1">
      <alignment horizontal="left" vertical="center"/>
    </xf>
    <xf numFmtId="0" fontId="14" fillId="2" borderId="11" xfId="5" applyFont="1" applyFill="1" applyBorder="1" applyAlignment="1">
      <alignment horizontal="left" vertical="top" wrapText="1"/>
    </xf>
    <xf numFmtId="0" fontId="14" fillId="2" borderId="0" xfId="5" applyFont="1" applyFill="1" applyBorder="1" applyAlignment="1">
      <alignment horizontal="left" vertical="top" wrapText="1"/>
    </xf>
    <xf numFmtId="0" fontId="19" fillId="2" borderId="0" xfId="5" applyFont="1" applyFill="1" applyBorder="1" applyAlignment="1">
      <alignment horizontal="left" vertical="top" wrapText="1"/>
    </xf>
    <xf numFmtId="0" fontId="19" fillId="6" borderId="0" xfId="0" applyFont="1" applyFill="1" applyBorder="1" applyAlignment="1">
      <alignment horizontal="left" vertical="top" wrapText="1"/>
    </xf>
    <xf numFmtId="0" fontId="9" fillId="6" borderId="11" xfId="0" applyFont="1" applyFill="1" applyBorder="1" applyAlignment="1">
      <alignment horizontal="left" vertical="top" wrapText="1"/>
    </xf>
    <xf numFmtId="0" fontId="9" fillId="6" borderId="0" xfId="0" applyFont="1" applyFill="1" applyBorder="1" applyAlignment="1">
      <alignment horizontal="left" vertical="top" wrapText="1"/>
    </xf>
    <xf numFmtId="0" fontId="18" fillId="2" borderId="0" xfId="0" applyFont="1" applyFill="1" applyBorder="1" applyAlignment="1">
      <alignment horizontal="left" vertical="top" wrapText="1"/>
    </xf>
    <xf numFmtId="0" fontId="9" fillId="2" borderId="11" xfId="0" applyFont="1" applyFill="1" applyBorder="1" applyAlignment="1">
      <alignment horizontal="left" vertical="top" wrapText="1"/>
    </xf>
    <xf numFmtId="0" fontId="77" fillId="11" borderId="89" xfId="0" applyFont="1" applyFill="1" applyBorder="1" applyAlignment="1">
      <alignment horizontal="center" vertical="top"/>
    </xf>
    <xf numFmtId="0" fontId="77" fillId="11" borderId="91" xfId="0" applyFont="1" applyFill="1" applyBorder="1" applyAlignment="1">
      <alignment horizontal="center" vertical="top"/>
    </xf>
    <xf numFmtId="0" fontId="77" fillId="2" borderId="96" xfId="0" applyFont="1" applyFill="1" applyBorder="1" applyAlignment="1">
      <alignment horizontal="center" vertical="top"/>
    </xf>
    <xf numFmtId="0" fontId="77" fillId="2" borderId="95" xfId="0" applyFont="1" applyFill="1" applyBorder="1" applyAlignment="1">
      <alignment horizontal="center" vertical="top"/>
    </xf>
    <xf numFmtId="0" fontId="13" fillId="11" borderId="35" xfId="0" applyFont="1" applyFill="1" applyBorder="1" applyAlignment="1">
      <alignment horizontal="center" vertical="center"/>
    </xf>
    <xf numFmtId="0" fontId="13" fillId="11" borderId="39" xfId="0" applyFont="1" applyFill="1" applyBorder="1" applyAlignment="1">
      <alignment horizontal="center" vertical="center"/>
    </xf>
    <xf numFmtId="0" fontId="13" fillId="11" borderId="37" xfId="0" applyFont="1" applyFill="1" applyBorder="1" applyAlignment="1">
      <alignment horizontal="center" vertical="center"/>
    </xf>
    <xf numFmtId="0" fontId="13" fillId="11" borderId="40" xfId="0" applyFont="1" applyFill="1" applyBorder="1" applyAlignment="1">
      <alignment horizontal="center" vertical="center"/>
    </xf>
    <xf numFmtId="0" fontId="9" fillId="9" borderId="13" xfId="0" applyFont="1" applyFill="1" applyBorder="1" applyAlignment="1">
      <alignment horizontal="left" vertical="top" wrapText="1"/>
    </xf>
    <xf numFmtId="0" fontId="9" fillId="9" borderId="14" xfId="0" applyFont="1" applyFill="1" applyBorder="1" applyAlignment="1">
      <alignment horizontal="left" vertical="top" wrapText="1"/>
    </xf>
    <xf numFmtId="0" fontId="9" fillId="9" borderId="10" xfId="0" applyFont="1" applyFill="1" applyBorder="1" applyAlignment="1">
      <alignment horizontal="left" vertical="top" wrapText="1"/>
    </xf>
    <xf numFmtId="0" fontId="9" fillId="9" borderId="0" xfId="0" applyFont="1" applyFill="1" applyBorder="1" applyAlignment="1">
      <alignment horizontal="left" vertical="top" wrapText="1"/>
    </xf>
    <xf numFmtId="0" fontId="8" fillId="11" borderId="17" xfId="0" applyFont="1" applyFill="1" applyBorder="1" applyAlignment="1">
      <alignment horizontal="center" vertical="top"/>
    </xf>
    <xf numFmtId="0" fontId="8" fillId="11" borderId="19" xfId="0" applyFont="1" applyFill="1" applyBorder="1" applyAlignment="1">
      <alignment horizontal="center" vertical="top"/>
    </xf>
    <xf numFmtId="0" fontId="13" fillId="2" borderId="35"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40" xfId="0" applyFont="1" applyFill="1" applyBorder="1" applyAlignment="1">
      <alignment horizontal="center" vertical="center"/>
    </xf>
    <xf numFmtId="0" fontId="20" fillId="0" borderId="30" xfId="0" applyFont="1" applyBorder="1" applyAlignment="1">
      <alignment horizontal="left" vertical="center" wrapText="1"/>
    </xf>
    <xf numFmtId="0" fontId="20" fillId="0" borderId="32" xfId="0" applyFont="1" applyBorder="1" applyAlignment="1">
      <alignment horizontal="left" vertical="center" wrapText="1"/>
    </xf>
    <xf numFmtId="0" fontId="20" fillId="0" borderId="28" xfId="0" applyFont="1" applyBorder="1" applyAlignment="1">
      <alignment horizontal="left" vertical="center" wrapText="1"/>
    </xf>
    <xf numFmtId="0" fontId="73" fillId="0" borderId="62" xfId="0" applyFont="1" applyBorder="1" applyAlignment="1">
      <alignment horizontal="center" vertical="center" wrapText="1"/>
    </xf>
    <xf numFmtId="0" fontId="73" fillId="0" borderId="63" xfId="0" applyFont="1" applyBorder="1" applyAlignment="1">
      <alignment horizontal="center" vertical="center" wrapText="1"/>
    </xf>
    <xf numFmtId="0" fontId="73" fillId="0" borderId="64" xfId="0" applyFont="1" applyBorder="1" applyAlignment="1">
      <alignment horizontal="center" vertical="center" wrapText="1"/>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73" fillId="0" borderId="35" xfId="0" applyFont="1" applyBorder="1" applyAlignment="1">
      <alignment horizontal="center" vertical="center" wrapText="1"/>
    </xf>
    <xf numFmtId="0" fontId="73" fillId="0" borderId="1" xfId="0" applyFont="1" applyBorder="1" applyAlignment="1">
      <alignment horizontal="center" vertical="center" wrapText="1"/>
    </xf>
    <xf numFmtId="0" fontId="74" fillId="27" borderId="1" xfId="0" applyFont="1" applyFill="1" applyBorder="1" applyAlignment="1">
      <alignment horizontal="center" vertical="center" wrapText="1"/>
    </xf>
    <xf numFmtId="0" fontId="74" fillId="2" borderId="1" xfId="0" applyFont="1" applyFill="1" applyBorder="1" applyAlignment="1">
      <alignment horizontal="center" vertical="center" wrapText="1"/>
    </xf>
    <xf numFmtId="0" fontId="74" fillId="2" borderId="37" xfId="0" applyFont="1" applyFill="1" applyBorder="1" applyAlignment="1">
      <alignment horizontal="center" vertical="center" wrapText="1"/>
    </xf>
    <xf numFmtId="0" fontId="74" fillId="0" borderId="0" xfId="0" applyFont="1" applyFill="1" applyBorder="1" applyAlignment="1">
      <alignment horizontal="center" vertical="center" wrapText="1"/>
    </xf>
    <xf numFmtId="0" fontId="73" fillId="0" borderId="1" xfId="0" applyFont="1" applyFill="1" applyBorder="1" applyAlignment="1">
      <alignment horizontal="center" vertical="center" wrapText="1"/>
    </xf>
    <xf numFmtId="0" fontId="74" fillId="0" borderId="1" xfId="0" applyFont="1" applyFill="1" applyBorder="1" applyAlignment="1">
      <alignment horizontal="center" vertical="center" wrapText="1"/>
    </xf>
    <xf numFmtId="0" fontId="76" fillId="0" borderId="0" xfId="0" applyFont="1" applyBorder="1" applyAlignment="1">
      <alignment horizontal="left" vertical="center"/>
    </xf>
    <xf numFmtId="0" fontId="45" fillId="0" borderId="1" xfId="0" applyFont="1" applyBorder="1" applyAlignment="1">
      <alignment horizontal="center"/>
    </xf>
    <xf numFmtId="0" fontId="20" fillId="22" borderId="1" xfId="0" applyFont="1" applyFill="1" applyBorder="1" applyAlignment="1">
      <alignment horizontal="center" vertical="top"/>
    </xf>
    <xf numFmtId="0" fontId="108" fillId="22" borderId="1" xfId="0" applyFont="1" applyFill="1" applyBorder="1" applyAlignment="1">
      <alignment horizontal="center" vertical="top" wrapText="1"/>
    </xf>
    <xf numFmtId="0" fontId="20" fillId="0" borderId="1" xfId="0" applyFont="1" applyBorder="1" applyAlignment="1">
      <alignment horizontal="center" vertical="center"/>
    </xf>
    <xf numFmtId="0" fontId="20" fillId="0" borderId="30" xfId="0" applyFont="1" applyBorder="1" applyAlignment="1">
      <alignment horizontal="center" vertical="center" wrapText="1"/>
    </xf>
    <xf numFmtId="0" fontId="20" fillId="0" borderId="28" xfId="0" applyFont="1" applyBorder="1" applyAlignment="1">
      <alignment horizontal="center" vertical="center" wrapText="1"/>
    </xf>
    <xf numFmtId="0" fontId="74" fillId="2" borderId="35" xfId="0" applyFont="1" applyFill="1" applyBorder="1" applyAlignment="1">
      <alignment horizontal="center" vertical="center" wrapText="1"/>
    </xf>
    <xf numFmtId="0" fontId="77" fillId="0" borderId="6" xfId="0" applyFont="1" applyFill="1" applyBorder="1" applyAlignment="1">
      <alignment horizontal="center" vertical="center"/>
    </xf>
    <xf numFmtId="0" fontId="77" fillId="0" borderId="7" xfId="0" applyFont="1" applyFill="1" applyBorder="1" applyAlignment="1">
      <alignment horizontal="center" vertical="center"/>
    </xf>
    <xf numFmtId="0" fontId="77" fillId="0" borderId="8" xfId="0" applyFont="1" applyFill="1" applyBorder="1" applyAlignment="1">
      <alignment horizontal="center" vertical="center"/>
    </xf>
    <xf numFmtId="0" fontId="77" fillId="0" borderId="10" xfId="0" applyFont="1" applyFill="1" applyBorder="1" applyAlignment="1">
      <alignment horizontal="center" vertical="center"/>
    </xf>
    <xf numFmtId="0" fontId="77" fillId="0" borderId="0" xfId="0" applyFont="1" applyFill="1" applyBorder="1" applyAlignment="1">
      <alignment horizontal="center" vertical="center"/>
    </xf>
    <xf numFmtId="0" fontId="77" fillId="0" borderId="11" xfId="0" applyFont="1" applyFill="1" applyBorder="1" applyAlignment="1">
      <alignment horizontal="center" vertical="center"/>
    </xf>
    <xf numFmtId="0" fontId="20" fillId="16" borderId="1" xfId="115" applyFont="1" applyBorder="1" applyAlignment="1">
      <alignment horizontal="center"/>
    </xf>
    <xf numFmtId="0" fontId="20" fillId="0"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73" fillId="25" borderId="35" xfId="0" applyFont="1" applyFill="1" applyBorder="1" applyAlignment="1">
      <alignment horizontal="center" vertical="center" wrapText="1"/>
    </xf>
    <xf numFmtId="0" fontId="74" fillId="25" borderId="37" xfId="0" applyFont="1" applyFill="1" applyBorder="1" applyAlignment="1">
      <alignment horizontal="center" vertical="center" wrapText="1"/>
    </xf>
    <xf numFmtId="0" fontId="74" fillId="25" borderId="35" xfId="0" applyFont="1" applyFill="1" applyBorder="1" applyAlignment="1">
      <alignment horizontal="center" vertical="center" wrapText="1"/>
    </xf>
    <xf numFmtId="0" fontId="74" fillId="25" borderId="1" xfId="0" applyFont="1" applyFill="1" applyBorder="1" applyAlignment="1">
      <alignment horizontal="center" vertical="center" wrapText="1"/>
    </xf>
    <xf numFmtId="0" fontId="77" fillId="0" borderId="62" xfId="0" applyFont="1" applyFill="1" applyBorder="1" applyAlignment="1">
      <alignment horizontal="center" vertical="center"/>
    </xf>
    <xf numFmtId="0" fontId="77" fillId="0" borderId="63" xfId="0" applyFont="1" applyFill="1" applyBorder="1" applyAlignment="1">
      <alignment horizontal="center" vertical="center"/>
    </xf>
    <xf numFmtId="0" fontId="77" fillId="0" borderId="64" xfId="0" applyFont="1" applyFill="1" applyBorder="1" applyAlignment="1">
      <alignment horizontal="center" vertical="center"/>
    </xf>
    <xf numFmtId="0" fontId="77" fillId="0" borderId="35" xfId="0" applyFont="1" applyFill="1" applyBorder="1" applyAlignment="1">
      <alignment horizontal="center" vertical="center"/>
    </xf>
    <xf numFmtId="0" fontId="77" fillId="0" borderId="1" xfId="0" applyFont="1" applyFill="1" applyBorder="1" applyAlignment="1">
      <alignment horizontal="center" vertical="center"/>
    </xf>
    <xf numFmtId="0" fontId="77" fillId="0" borderId="37" xfId="0" applyFont="1" applyFill="1" applyBorder="1" applyAlignment="1">
      <alignment horizontal="center" vertical="center"/>
    </xf>
    <xf numFmtId="0" fontId="5" fillId="0" borderId="26" xfId="0" applyFont="1" applyBorder="1" applyAlignment="1">
      <alignment horizontal="left" vertical="center" wrapText="1"/>
    </xf>
    <xf numFmtId="0" fontId="77" fillId="0" borderId="6" xfId="0" applyFont="1" applyBorder="1" applyAlignment="1">
      <alignment horizontal="center" vertical="center" wrapText="1"/>
    </xf>
    <xf numFmtId="0" fontId="77" fillId="0" borderId="7" xfId="0" applyFont="1" applyBorder="1" applyAlignment="1">
      <alignment horizontal="center" vertical="center" wrapText="1"/>
    </xf>
    <xf numFmtId="0" fontId="77" fillId="0" borderId="8" xfId="0" applyFont="1" applyBorder="1" applyAlignment="1">
      <alignment horizontal="center" vertical="center" wrapText="1"/>
    </xf>
    <xf numFmtId="0" fontId="20" fillId="23" borderId="35" xfId="0" applyFont="1" applyFill="1" applyBorder="1" applyAlignment="1">
      <alignment horizontal="center" vertical="center" wrapText="1"/>
    </xf>
    <xf numFmtId="0" fontId="20" fillId="23" borderId="1" xfId="0" applyFont="1" applyFill="1" applyBorder="1" applyAlignment="1">
      <alignment horizontal="center" vertical="center" wrapText="1"/>
    </xf>
    <xf numFmtId="0" fontId="55" fillId="23" borderId="1" xfId="0" applyFont="1" applyFill="1" applyBorder="1" applyAlignment="1">
      <alignment horizontal="center" vertical="center" wrapText="1"/>
    </xf>
    <xf numFmtId="0" fontId="55" fillId="23" borderId="24" xfId="0" applyFont="1" applyFill="1" applyBorder="1" applyAlignment="1">
      <alignment horizontal="center" vertical="center" wrapText="1"/>
    </xf>
    <xf numFmtId="0" fontId="55" fillId="23" borderId="23" xfId="0" applyFont="1" applyFill="1" applyBorder="1" applyAlignment="1">
      <alignment horizontal="center" vertical="center" wrapText="1"/>
    </xf>
    <xf numFmtId="0" fontId="55" fillId="23" borderId="65" xfId="0" applyFont="1" applyFill="1" applyBorder="1" applyAlignment="1">
      <alignment horizontal="center" vertical="center" wrapText="1"/>
    </xf>
    <xf numFmtId="0" fontId="20" fillId="0" borderId="28" xfId="0" applyFont="1" applyBorder="1" applyAlignment="1">
      <alignment horizontal="center" vertical="center"/>
    </xf>
    <xf numFmtId="0" fontId="55" fillId="23" borderId="22" xfId="0" applyFont="1" applyFill="1" applyBorder="1" applyAlignment="1">
      <alignment horizontal="center" vertical="center" wrapText="1"/>
    </xf>
    <xf numFmtId="0" fontId="55" fillId="0" borderId="0" xfId="0" applyFont="1" applyFill="1" applyBorder="1" applyAlignment="1">
      <alignment horizontal="center" vertical="center" wrapText="1"/>
    </xf>
    <xf numFmtId="0" fontId="55" fillId="23" borderId="62" xfId="0" applyFont="1" applyFill="1" applyBorder="1" applyAlignment="1">
      <alignment horizontal="center" vertical="center" wrapText="1"/>
    </xf>
    <xf numFmtId="0" fontId="55" fillId="23" borderId="63" xfId="0" applyFont="1" applyFill="1" applyBorder="1" applyAlignment="1">
      <alignment horizontal="center" vertical="center" wrapText="1"/>
    </xf>
    <xf numFmtId="0" fontId="55" fillId="23" borderId="64" xfId="0" applyFont="1" applyFill="1" applyBorder="1" applyAlignment="1">
      <alignment horizontal="center" vertical="center" wrapText="1"/>
    </xf>
    <xf numFmtId="0" fontId="55" fillId="23" borderId="37" xfId="0" applyFont="1" applyFill="1" applyBorder="1" applyAlignment="1">
      <alignment horizontal="center" vertical="center" wrapText="1"/>
    </xf>
    <xf numFmtId="0" fontId="9" fillId="0" borderId="1" xfId="0" applyFont="1" applyBorder="1" applyAlignment="1">
      <alignment horizontal="center" vertical="center"/>
    </xf>
    <xf numFmtId="0" fontId="106" fillId="0" borderId="0" xfId="0" applyFont="1" applyBorder="1" applyAlignment="1">
      <alignment horizontal="left" vertical="center"/>
    </xf>
    <xf numFmtId="0" fontId="20" fillId="0" borderId="24" xfId="0" applyFont="1" applyBorder="1" applyAlignment="1">
      <alignment horizontal="center" vertical="center"/>
    </xf>
    <xf numFmtId="0" fontId="20" fillId="0" borderId="22" xfId="0" applyFont="1" applyBorder="1" applyAlignment="1">
      <alignment horizontal="center" vertical="center"/>
    </xf>
    <xf numFmtId="0" fontId="20" fillId="23" borderId="30" xfId="0" applyFont="1" applyFill="1" applyBorder="1" applyAlignment="1">
      <alignment horizontal="center" vertical="center" wrapText="1"/>
    </xf>
    <xf numFmtId="0" fontId="20" fillId="23" borderId="28" xfId="0" applyFont="1" applyFill="1" applyBorder="1" applyAlignment="1">
      <alignment horizontal="center" vertical="center" wrapText="1"/>
    </xf>
    <xf numFmtId="0" fontId="69" fillId="19" borderId="14" xfId="0" applyFont="1" applyFill="1" applyBorder="1" applyAlignment="1">
      <alignment horizontal="center"/>
    </xf>
    <xf numFmtId="0" fontId="88" fillId="19" borderId="14" xfId="0" applyFont="1" applyFill="1" applyBorder="1" applyAlignment="1">
      <alignment horizontal="center"/>
    </xf>
    <xf numFmtId="0" fontId="88" fillId="19" borderId="14" xfId="0" applyFont="1" applyFill="1" applyBorder="1" applyAlignment="1">
      <alignment horizontal="center" vertical="top"/>
    </xf>
    <xf numFmtId="0" fontId="69" fillId="19" borderId="14" xfId="0" applyFont="1" applyFill="1" applyBorder="1" applyAlignment="1">
      <alignment horizontal="center" vertical="top"/>
    </xf>
    <xf numFmtId="0" fontId="84" fillId="0" borderId="14" xfId="0" applyFont="1" applyBorder="1" applyAlignment="1">
      <alignment horizontal="center" vertical="center" wrapText="1"/>
    </xf>
    <xf numFmtId="0" fontId="55" fillId="23" borderId="33" xfId="0" applyFont="1" applyFill="1" applyBorder="1" applyAlignment="1">
      <alignment horizontal="center" vertical="center" wrapText="1"/>
    </xf>
    <xf numFmtId="0" fontId="55" fillId="23" borderId="57" xfId="0" applyFont="1" applyFill="1" applyBorder="1" applyAlignment="1">
      <alignment horizontal="center" vertical="center" wrapText="1"/>
    </xf>
    <xf numFmtId="0" fontId="55" fillId="23" borderId="69" xfId="0" applyFont="1" applyFill="1" applyBorder="1" applyAlignment="1">
      <alignment horizontal="center" vertical="center" wrapText="1"/>
    </xf>
    <xf numFmtId="0" fontId="55" fillId="23" borderId="95" xfId="0" applyFont="1" applyFill="1" applyBorder="1" applyAlignment="1">
      <alignment horizontal="center" vertical="center" wrapText="1"/>
    </xf>
    <xf numFmtId="0" fontId="55" fillId="23" borderId="46" xfId="0" applyFont="1" applyFill="1" applyBorder="1" applyAlignment="1">
      <alignment horizontal="center" vertical="center" wrapText="1"/>
    </xf>
    <xf numFmtId="0" fontId="100" fillId="23" borderId="1" xfId="0" applyFont="1" applyFill="1" applyBorder="1" applyAlignment="1">
      <alignment horizontal="center" vertical="center" wrapText="1"/>
    </xf>
    <xf numFmtId="0" fontId="5" fillId="0" borderId="7" xfId="0" applyFont="1" applyBorder="1" applyAlignment="1">
      <alignment horizontal="left" vertical="center" wrapText="1"/>
    </xf>
    <xf numFmtId="0" fontId="5" fillId="0" borderId="0" xfId="0" applyFont="1" applyBorder="1" applyAlignment="1">
      <alignment horizontal="left" vertical="center" wrapText="1"/>
    </xf>
    <xf numFmtId="0" fontId="106" fillId="0" borderId="14" xfId="0" applyFont="1" applyBorder="1" applyAlignment="1">
      <alignment horizontal="left" vertical="center"/>
    </xf>
    <xf numFmtId="0" fontId="82" fillId="0" borderId="0" xfId="0" applyFont="1" applyBorder="1" applyAlignment="1">
      <alignment horizontal="left" vertical="center"/>
    </xf>
    <xf numFmtId="0" fontId="106" fillId="0" borderId="17" xfId="0" applyFont="1" applyBorder="1" applyAlignment="1">
      <alignment horizontal="center" vertical="center"/>
    </xf>
    <xf numFmtId="0" fontId="106" fillId="0" borderId="18" xfId="0" applyFont="1" applyBorder="1" applyAlignment="1">
      <alignment horizontal="center" vertical="center"/>
    </xf>
    <xf numFmtId="0" fontId="106" fillId="0" borderId="19" xfId="0" applyFont="1" applyBorder="1" applyAlignment="1">
      <alignment horizontal="center" vertical="center"/>
    </xf>
    <xf numFmtId="0" fontId="5" fillId="19" borderId="7" xfId="0" applyFont="1" applyFill="1" applyBorder="1" applyAlignment="1">
      <alignment horizontal="left" vertical="center" wrapText="1"/>
    </xf>
    <xf numFmtId="0" fontId="9" fillId="23" borderId="24" xfId="0" applyFont="1" applyFill="1" applyBorder="1" applyAlignment="1">
      <alignment horizontal="center" vertical="center" wrapText="1"/>
    </xf>
    <xf numFmtId="0" fontId="9" fillId="23" borderId="22" xfId="0" applyFont="1" applyFill="1" applyBorder="1" applyAlignment="1">
      <alignment horizontal="center" vertical="center" wrapText="1"/>
    </xf>
    <xf numFmtId="0" fontId="13" fillId="0" borderId="14" xfId="0" applyFont="1" applyBorder="1" applyAlignment="1">
      <alignment horizontal="center" vertical="center" wrapText="1"/>
    </xf>
    <xf numFmtId="0" fontId="9" fillId="23" borderId="23" xfId="0" applyFont="1" applyFill="1" applyBorder="1" applyAlignment="1">
      <alignment horizontal="center" vertical="center" wrapText="1"/>
    </xf>
    <xf numFmtId="0" fontId="55" fillId="23" borderId="34" xfId="0" applyFont="1" applyFill="1" applyBorder="1" applyAlignment="1">
      <alignment horizontal="center" vertical="center" wrapText="1"/>
    </xf>
    <xf numFmtId="0" fontId="55" fillId="23" borderId="68" xfId="0" applyFont="1" applyFill="1" applyBorder="1" applyAlignment="1">
      <alignment horizontal="center" vertical="center" wrapText="1"/>
    </xf>
    <xf numFmtId="0" fontId="80" fillId="0" borderId="0" xfId="0" applyFont="1" applyBorder="1" applyAlignment="1">
      <alignment horizontal="center" vertical="center"/>
    </xf>
    <xf numFmtId="0" fontId="20" fillId="0" borderId="62" xfId="0" applyFont="1" applyBorder="1" applyAlignment="1">
      <alignment horizontal="center" vertical="center"/>
    </xf>
    <xf numFmtId="0" fontId="20" fillId="0" borderId="63" xfId="0" applyFont="1" applyBorder="1" applyAlignment="1">
      <alignment horizontal="center" vertical="center"/>
    </xf>
    <xf numFmtId="0" fontId="20" fillId="0" borderId="39" xfId="0" applyFont="1" applyBorder="1" applyAlignment="1">
      <alignment horizontal="center" vertical="center"/>
    </xf>
    <xf numFmtId="0" fontId="20" fillId="0" borderId="43" xfId="0" applyFont="1" applyBorder="1" applyAlignment="1">
      <alignment horizontal="center" vertical="center"/>
    </xf>
    <xf numFmtId="0" fontId="102" fillId="39" borderId="1" xfId="0" applyFont="1" applyFill="1" applyBorder="1" applyAlignment="1">
      <alignment horizontal="center" vertical="center"/>
    </xf>
    <xf numFmtId="49" fontId="102" fillId="39" borderId="1" xfId="0" applyNumberFormat="1" applyFont="1" applyFill="1" applyBorder="1" applyAlignment="1">
      <alignment horizontal="center" vertical="center" wrapText="1"/>
    </xf>
    <xf numFmtId="164" fontId="102" fillId="39" borderId="1" xfId="0" applyNumberFormat="1" applyFont="1" applyFill="1" applyBorder="1" applyAlignment="1">
      <alignment horizontal="center" vertical="center"/>
    </xf>
    <xf numFmtId="2" fontId="102" fillId="39" borderId="1" xfId="0" applyNumberFormat="1" applyFont="1" applyFill="1" applyBorder="1" applyAlignment="1">
      <alignment horizontal="center" vertical="center" wrapText="1"/>
    </xf>
    <xf numFmtId="0" fontId="39" fillId="15" borderId="1" xfId="0" applyFont="1" applyFill="1" applyBorder="1" applyAlignment="1">
      <alignment horizontal="center"/>
    </xf>
    <xf numFmtId="0" fontId="69" fillId="19" borderId="89" xfId="0" applyFont="1" applyFill="1" applyBorder="1" applyAlignment="1">
      <alignment horizontal="center" vertical="center"/>
    </xf>
    <xf numFmtId="0" fontId="69" fillId="19" borderId="90" xfId="0" applyFont="1" applyFill="1" applyBorder="1" applyAlignment="1">
      <alignment horizontal="center" vertical="center"/>
    </xf>
    <xf numFmtId="0" fontId="69" fillId="19" borderId="91" xfId="0" applyFont="1" applyFill="1" applyBorder="1" applyAlignment="1">
      <alignment horizontal="center" vertical="center"/>
    </xf>
    <xf numFmtId="0" fontId="102" fillId="39" borderId="30" xfId="0" applyFont="1" applyFill="1" applyBorder="1" applyAlignment="1">
      <alignment horizontal="center" vertical="center"/>
    </xf>
    <xf numFmtId="0" fontId="102" fillId="39" borderId="28" xfId="0" applyFont="1" applyFill="1" applyBorder="1" applyAlignment="1">
      <alignment horizontal="center" vertical="center"/>
    </xf>
    <xf numFmtId="0" fontId="102" fillId="39" borderId="24" xfId="0" applyFont="1" applyFill="1" applyBorder="1" applyAlignment="1">
      <alignment horizontal="center" vertical="center" wrapText="1"/>
    </xf>
    <xf numFmtId="0" fontId="102" fillId="39" borderId="23" xfId="0" applyFont="1" applyFill="1" applyBorder="1" applyAlignment="1">
      <alignment horizontal="center" vertical="center" wrapText="1"/>
    </xf>
    <xf numFmtId="0" fontId="102" fillId="39" borderId="22" xfId="0" applyFont="1" applyFill="1" applyBorder="1" applyAlignment="1">
      <alignment horizontal="center" vertical="center" wrapText="1"/>
    </xf>
    <xf numFmtId="0" fontId="41" fillId="0" borderId="1" xfId="0" applyFont="1" applyBorder="1" applyAlignment="1">
      <alignment horizontal="center" vertical="center"/>
    </xf>
    <xf numFmtId="0" fontId="39" fillId="38" borderId="1" xfId="0" applyFont="1" applyFill="1" applyBorder="1" applyAlignment="1">
      <alignment horizontal="center"/>
    </xf>
    <xf numFmtId="0" fontId="37" fillId="40" borderId="24" xfId="0" applyFont="1" applyFill="1" applyBorder="1" applyAlignment="1">
      <alignment horizontal="center"/>
    </xf>
    <xf numFmtId="0" fontId="37" fillId="40" borderId="23" xfId="0" applyFont="1" applyFill="1" applyBorder="1" applyAlignment="1">
      <alignment horizontal="center"/>
    </xf>
    <xf numFmtId="0" fontId="37" fillId="40" borderId="22" xfId="0" applyFont="1" applyFill="1" applyBorder="1" applyAlignment="1">
      <alignment horizontal="center"/>
    </xf>
    <xf numFmtId="0" fontId="37" fillId="41" borderId="24" xfId="0" applyFont="1" applyFill="1" applyBorder="1" applyAlignment="1">
      <alignment horizontal="center"/>
    </xf>
    <xf numFmtId="0" fontId="37" fillId="41" borderId="23" xfId="0" applyFont="1" applyFill="1" applyBorder="1" applyAlignment="1">
      <alignment horizontal="center"/>
    </xf>
    <xf numFmtId="0" fontId="0" fillId="0" borderId="24" xfId="0" applyBorder="1" applyAlignment="1">
      <alignment horizontal="center"/>
    </xf>
    <xf numFmtId="0" fontId="0" fillId="0" borderId="22" xfId="0" applyBorder="1" applyAlignment="1">
      <alignment horizontal="center"/>
    </xf>
    <xf numFmtId="0" fontId="40" fillId="34" borderId="24" xfId="0" applyFont="1" applyFill="1" applyBorder="1" applyAlignment="1">
      <alignment horizontal="center"/>
    </xf>
    <xf numFmtId="0" fontId="40" fillId="34" borderId="23" xfId="0" applyFont="1" applyFill="1" applyBorder="1" applyAlignment="1">
      <alignment horizontal="center"/>
    </xf>
    <xf numFmtId="0" fontId="40" fillId="34" borderId="22" xfId="0" applyFont="1" applyFill="1" applyBorder="1" applyAlignment="1">
      <alignment horizontal="center"/>
    </xf>
    <xf numFmtId="0" fontId="22" fillId="0" borderId="89" xfId="0" applyFont="1" applyBorder="1" applyAlignment="1">
      <alignment horizontal="center" vertical="center"/>
    </xf>
    <xf numFmtId="0" fontId="22" fillId="0" borderId="91" xfId="0" applyFont="1" applyBorder="1" applyAlignment="1">
      <alignment horizontal="center" vertical="center"/>
    </xf>
    <xf numFmtId="0" fontId="22" fillId="0" borderId="62" xfId="0" applyFont="1" applyBorder="1" applyAlignment="1">
      <alignment horizontal="center" vertical="center"/>
    </xf>
    <xf numFmtId="0" fontId="22" fillId="0" borderId="63" xfId="0" applyFont="1" applyBorder="1" applyAlignment="1">
      <alignment horizontal="center" vertical="center"/>
    </xf>
    <xf numFmtId="0" fontId="69" fillId="19" borderId="17" xfId="0" applyFont="1" applyFill="1" applyBorder="1" applyAlignment="1">
      <alignment horizontal="center" vertical="center"/>
    </xf>
    <xf numFmtId="0" fontId="69" fillId="19" borderId="18" xfId="0" applyFont="1" applyFill="1" applyBorder="1" applyAlignment="1">
      <alignment horizontal="center" vertical="center"/>
    </xf>
    <xf numFmtId="0" fontId="69" fillId="19" borderId="19" xfId="0" applyFont="1" applyFill="1" applyBorder="1" applyAlignment="1">
      <alignment horizontal="center" vertical="center"/>
    </xf>
    <xf numFmtId="0" fontId="22" fillId="0" borderId="30" xfId="0" applyFont="1" applyBorder="1" applyAlignment="1">
      <alignment horizontal="center" vertical="center"/>
    </xf>
    <xf numFmtId="0" fontId="22" fillId="0" borderId="32" xfId="0" applyFont="1" applyBorder="1" applyAlignment="1">
      <alignment horizontal="center" vertical="center"/>
    </xf>
    <xf numFmtId="0" fontId="22" fillId="0" borderId="28" xfId="0" applyFont="1" applyBorder="1" applyAlignment="1">
      <alignment horizontal="center" vertical="center"/>
    </xf>
    <xf numFmtId="0" fontId="34" fillId="0" borderId="24" xfId="0" applyFont="1" applyBorder="1" applyAlignment="1">
      <alignment horizontal="center" vertical="center"/>
    </xf>
    <xf numFmtId="0" fontId="34" fillId="0" borderId="23" xfId="0" applyFont="1" applyBorder="1" applyAlignment="1">
      <alignment horizontal="center" vertical="center"/>
    </xf>
    <xf numFmtId="0" fontId="34" fillId="0" borderId="22" xfId="0" applyFont="1" applyBorder="1" applyAlignment="1">
      <alignment horizontal="center" vertical="center"/>
    </xf>
    <xf numFmtId="0" fontId="22" fillId="0" borderId="1" xfId="0" applyFont="1" applyBorder="1" applyAlignment="1">
      <alignment horizontal="center" vertical="center" wrapText="1"/>
    </xf>
    <xf numFmtId="0" fontId="34" fillId="0" borderId="1" xfId="0" applyFont="1" applyBorder="1" applyAlignment="1">
      <alignment horizontal="center" vertical="center"/>
    </xf>
    <xf numFmtId="0" fontId="22" fillId="0" borderId="0" xfId="0" applyFont="1" applyAlignment="1">
      <alignment horizontal="center"/>
    </xf>
    <xf numFmtId="0" fontId="34" fillId="0" borderId="0" xfId="0" applyFont="1" applyAlignment="1">
      <alignment horizontal="center"/>
    </xf>
    <xf numFmtId="0" fontId="34" fillId="0" borderId="14" xfId="0" applyFont="1" applyBorder="1" applyAlignment="1">
      <alignment horizontal="center"/>
    </xf>
    <xf numFmtId="0" fontId="104" fillId="0" borderId="6" xfId="0" applyFont="1" applyBorder="1" applyAlignment="1">
      <alignment horizontal="center" vertical="center" wrapText="1"/>
    </xf>
    <xf numFmtId="0" fontId="104" fillId="0" borderId="10" xfId="0" applyFont="1" applyBorder="1" applyAlignment="1">
      <alignment horizontal="center" vertical="center" wrapText="1"/>
    </xf>
    <xf numFmtId="0" fontId="104" fillId="0" borderId="7" xfId="0" applyFont="1" applyBorder="1" applyAlignment="1">
      <alignment horizontal="center" vertical="center" wrapText="1"/>
    </xf>
    <xf numFmtId="0" fontId="104" fillId="0" borderId="8" xfId="0" applyFont="1" applyBorder="1" applyAlignment="1">
      <alignment horizontal="center" vertical="center" wrapText="1"/>
    </xf>
    <xf numFmtId="0" fontId="22" fillId="0" borderId="0" xfId="0" applyFont="1" applyAlignment="1">
      <alignment horizontal="center" vertical="center" wrapText="1"/>
    </xf>
    <xf numFmtId="166" fontId="59" fillId="0" borderId="0" xfId="1" applyNumberFormat="1" applyFont="1" applyAlignment="1">
      <alignment horizontal="center"/>
    </xf>
    <xf numFmtId="0" fontId="43" fillId="0" borderId="14" xfId="0" applyFont="1" applyBorder="1" applyAlignment="1">
      <alignment horizontal="center" vertical="center" wrapText="1"/>
    </xf>
    <xf numFmtId="0" fontId="43" fillId="0" borderId="0" xfId="0" applyFont="1" applyFill="1" applyBorder="1" applyAlignment="1">
      <alignment horizontal="center" vertical="center" wrapText="1"/>
    </xf>
    <xf numFmtId="0" fontId="0" fillId="0" borderId="0" xfId="0" applyAlignment="1">
      <alignment horizontal="left" vertical="center" wrapText="1"/>
    </xf>
    <xf numFmtId="0" fontId="20" fillId="0" borderId="1" xfId="0" applyFont="1" applyFill="1" applyBorder="1" applyAlignment="1">
      <alignment horizontal="center" vertical="center"/>
    </xf>
    <xf numFmtId="0" fontId="5" fillId="0" borderId="0" xfId="0" applyFont="1" applyAlignment="1">
      <alignment horizontal="left" vertical="top" wrapText="1"/>
    </xf>
    <xf numFmtId="0" fontId="5" fillId="0" borderId="26" xfId="0" applyFont="1" applyBorder="1" applyAlignment="1">
      <alignment horizontal="left" vertical="top" wrapText="1"/>
    </xf>
    <xf numFmtId="0" fontId="22" fillId="23" borderId="24" xfId="0" applyFont="1" applyFill="1" applyBorder="1" applyAlignment="1">
      <alignment horizontal="center" vertical="center"/>
    </xf>
    <xf numFmtId="0" fontId="22" fillId="23" borderId="1" xfId="0" applyFont="1" applyFill="1" applyBorder="1" applyAlignment="1">
      <alignment horizontal="center" vertical="center" wrapText="1"/>
    </xf>
    <xf numFmtId="0" fontId="22" fillId="23" borderId="49" xfId="0" applyFont="1" applyFill="1" applyBorder="1" applyAlignment="1">
      <alignment horizontal="center" vertical="center" wrapText="1"/>
    </xf>
    <xf numFmtId="0" fontId="22" fillId="23" borderId="1" xfId="0" applyFont="1" applyFill="1" applyBorder="1" applyAlignment="1">
      <alignment horizontal="center" vertical="center"/>
    </xf>
    <xf numFmtId="0" fontId="0" fillId="0" borderId="89" xfId="0" applyFont="1" applyBorder="1" applyAlignment="1">
      <alignment horizontal="center" vertical="center"/>
    </xf>
    <xf numFmtId="0" fontId="0" fillId="0" borderId="90" xfId="0" applyFont="1" applyBorder="1" applyAlignment="1">
      <alignment horizontal="center" vertical="center"/>
    </xf>
    <xf numFmtId="0" fontId="0" fillId="0" borderId="91" xfId="0" applyFont="1" applyBorder="1" applyAlignment="1">
      <alignment horizontal="center" vertical="center"/>
    </xf>
    <xf numFmtId="0" fontId="22" fillId="23" borderId="23" xfId="0" applyFont="1" applyFill="1" applyBorder="1" applyAlignment="1">
      <alignment horizontal="center" vertical="center"/>
    </xf>
    <xf numFmtId="0" fontId="22" fillId="23" borderId="22" xfId="0" applyFont="1" applyFill="1" applyBorder="1" applyAlignment="1">
      <alignment horizontal="center" vertical="center"/>
    </xf>
    <xf numFmtId="0" fontId="22" fillId="23" borderId="24" xfId="0" applyFont="1" applyFill="1" applyBorder="1" applyAlignment="1">
      <alignment horizontal="center" vertical="center" wrapText="1"/>
    </xf>
    <xf numFmtId="0" fontId="22" fillId="23" borderId="23" xfId="0" applyFont="1" applyFill="1" applyBorder="1" applyAlignment="1">
      <alignment horizontal="center" vertical="center" wrapText="1"/>
    </xf>
    <xf numFmtId="0" fontId="22" fillId="23" borderId="22" xfId="0" applyFont="1" applyFill="1" applyBorder="1" applyAlignment="1">
      <alignment horizontal="center" vertical="center" wrapText="1"/>
    </xf>
    <xf numFmtId="0" fontId="51" fillId="29" borderId="0" xfId="112" applyFont="1" applyAlignment="1">
      <alignment horizontal="center" vertical="center"/>
    </xf>
    <xf numFmtId="0" fontId="22" fillId="23" borderId="33" xfId="0" applyFont="1" applyFill="1" applyBorder="1" applyAlignment="1">
      <alignment horizontal="center"/>
    </xf>
    <xf numFmtId="0" fontId="22" fillId="23" borderId="57" xfId="0" applyFont="1" applyFill="1" applyBorder="1" applyAlignment="1">
      <alignment horizontal="center"/>
    </xf>
    <xf numFmtId="0" fontId="22" fillId="23" borderId="58" xfId="0" applyFont="1" applyFill="1" applyBorder="1" applyAlignment="1">
      <alignment horizontal="center"/>
    </xf>
    <xf numFmtId="0" fontId="22" fillId="22" borderId="1" xfId="0" applyFont="1" applyFill="1" applyBorder="1" applyAlignment="1">
      <alignment horizontal="center" vertical="center"/>
    </xf>
    <xf numFmtId="0" fontId="32" fillId="23" borderId="1" xfId="0" applyFont="1" applyFill="1" applyBorder="1" applyAlignment="1">
      <alignment horizontal="center" vertical="center" wrapText="1"/>
    </xf>
    <xf numFmtId="0" fontId="22" fillId="0" borderId="24" xfId="0" applyFont="1" applyBorder="1" applyAlignment="1">
      <alignment horizontal="left" vertical="center"/>
    </xf>
    <xf numFmtId="0" fontId="22" fillId="0" borderId="23" xfId="0" applyFont="1" applyBorder="1" applyAlignment="1">
      <alignment horizontal="left" vertical="center"/>
    </xf>
    <xf numFmtId="0" fontId="22" fillId="0" borderId="22" xfId="0" applyFont="1" applyBorder="1" applyAlignment="1">
      <alignment horizontal="left" vertical="center"/>
    </xf>
    <xf numFmtId="0" fontId="22" fillId="0" borderId="24" xfId="0" applyFont="1" applyBorder="1" applyAlignment="1">
      <alignment horizontal="left" vertical="center" wrapText="1"/>
    </xf>
    <xf numFmtId="0" fontId="22" fillId="0" borderId="23" xfId="0" applyFont="1" applyBorder="1" applyAlignment="1">
      <alignment horizontal="left" vertical="center" wrapText="1"/>
    </xf>
    <xf numFmtId="0" fontId="22" fillId="0" borderId="22" xfId="0" applyFont="1" applyBorder="1" applyAlignment="1">
      <alignment horizontal="left" vertical="center" wrapText="1"/>
    </xf>
    <xf numFmtId="0" fontId="0" fillId="0" borderId="0" xfId="0" applyFont="1" applyAlignment="1">
      <alignment vertical="top" wrapText="1"/>
    </xf>
    <xf numFmtId="0" fontId="0" fillId="0" borderId="10" xfId="0" applyFont="1" applyBorder="1" applyAlignment="1">
      <alignment horizontal="left" vertical="center" wrapText="1"/>
    </xf>
    <xf numFmtId="0" fontId="0" fillId="0" borderId="0" xfId="0" applyFont="1" applyBorder="1" applyAlignment="1">
      <alignment horizontal="left" vertical="center" wrapText="1"/>
    </xf>
    <xf numFmtId="0" fontId="0" fillId="0" borderId="11" xfId="0" applyFont="1" applyBorder="1" applyAlignment="1">
      <alignment horizontal="left" vertical="center" wrapText="1"/>
    </xf>
    <xf numFmtId="0" fontId="50" fillId="0" borderId="0" xfId="0" applyFont="1" applyAlignment="1">
      <alignment horizontal="left" vertical="center" wrapText="1"/>
    </xf>
    <xf numFmtId="0" fontId="22" fillId="0" borderId="2" xfId="0" applyFont="1" applyBorder="1" applyAlignment="1">
      <alignment horizontal="center" vertical="center" wrapText="1"/>
    </xf>
    <xf numFmtId="0" fontId="22" fillId="22" borderId="33" xfId="0" applyFont="1" applyFill="1" applyBorder="1" applyAlignment="1">
      <alignment horizontal="center" vertical="center" wrapText="1"/>
    </xf>
    <xf numFmtId="0" fontId="22" fillId="22" borderId="57" xfId="0" applyFont="1" applyFill="1" applyBorder="1" applyAlignment="1">
      <alignment horizontal="center" vertical="center" wrapText="1"/>
    </xf>
    <xf numFmtId="0" fontId="22" fillId="22" borderId="58" xfId="0" applyFont="1" applyFill="1" applyBorder="1" applyAlignment="1">
      <alignment horizontal="center" vertical="center" wrapText="1"/>
    </xf>
    <xf numFmtId="0" fontId="32" fillId="22" borderId="1" xfId="0" applyFont="1" applyFill="1" applyBorder="1" applyAlignment="1">
      <alignment horizontal="center" vertical="center"/>
    </xf>
    <xf numFmtId="0" fontId="0" fillId="0" borderId="59" xfId="0" applyFont="1" applyBorder="1" applyAlignment="1">
      <alignment horizontal="left" vertical="center" wrapText="1"/>
    </xf>
    <xf numFmtId="0" fontId="0" fillId="0" borderId="26" xfId="0" applyFont="1" applyBorder="1" applyAlignment="1">
      <alignment horizontal="left" vertical="center" wrapText="1"/>
    </xf>
    <xf numFmtId="0" fontId="0" fillId="0" borderId="72" xfId="0" applyFont="1" applyBorder="1" applyAlignment="1">
      <alignment horizontal="left" vertical="center" wrapText="1"/>
    </xf>
    <xf numFmtId="0" fontId="0" fillId="0" borderId="13" xfId="0" applyFont="1" applyBorder="1" applyAlignment="1">
      <alignment horizontal="left" vertical="center" wrapText="1"/>
    </xf>
    <xf numFmtId="0" fontId="0" fillId="0" borderId="14" xfId="0" applyFont="1" applyBorder="1" applyAlignment="1">
      <alignment horizontal="left" vertical="center" wrapText="1"/>
    </xf>
    <xf numFmtId="0" fontId="0" fillId="0" borderId="15" xfId="0" applyFont="1" applyBorder="1" applyAlignment="1">
      <alignment horizontal="left" vertical="center" wrapText="1"/>
    </xf>
    <xf numFmtId="0" fontId="21" fillId="18" borderId="24" xfId="0" applyFont="1" applyFill="1" applyBorder="1" applyAlignment="1">
      <alignment horizontal="center" vertical="center" wrapText="1"/>
    </xf>
    <xf numFmtId="0" fontId="21" fillId="18" borderId="22" xfId="0" applyFont="1" applyFill="1" applyBorder="1" applyAlignment="1">
      <alignment horizontal="center" vertical="center" wrapText="1"/>
    </xf>
    <xf numFmtId="0" fontId="33" fillId="0" borderId="0" xfId="0" applyFont="1" applyAlignment="1">
      <alignment horizontal="left" vertical="center" wrapText="1"/>
    </xf>
    <xf numFmtId="0" fontId="39" fillId="0" borderId="26" xfId="0" applyFont="1" applyBorder="1" applyAlignment="1">
      <alignment horizontal="left" vertical="center" wrapText="1"/>
    </xf>
    <xf numFmtId="0" fontId="39" fillId="0" borderId="0" xfId="0" applyFont="1" applyBorder="1" applyAlignment="1">
      <alignment horizontal="left" vertical="center" wrapText="1"/>
    </xf>
    <xf numFmtId="0" fontId="40" fillId="23" borderId="24" xfId="0" applyFont="1" applyFill="1" applyBorder="1" applyAlignment="1">
      <alignment horizontal="center" vertical="center" wrapText="1"/>
    </xf>
    <xf numFmtId="0" fontId="37" fillId="23" borderId="25" xfId="0" applyFont="1" applyFill="1" applyBorder="1" applyAlignment="1">
      <alignment horizontal="center" vertical="center" wrapText="1"/>
    </xf>
    <xf numFmtId="0" fontId="37" fillId="23" borderId="5" xfId="0" applyFont="1" applyFill="1" applyBorder="1" applyAlignment="1">
      <alignment horizontal="center" vertical="center" wrapText="1"/>
    </xf>
    <xf numFmtId="0" fontId="37" fillId="23" borderId="27" xfId="0" applyFont="1" applyFill="1" applyBorder="1" applyAlignment="1">
      <alignment horizontal="center" vertical="center" wrapText="1"/>
    </xf>
    <xf numFmtId="0" fontId="37" fillId="23" borderId="4" xfId="0" applyFont="1" applyFill="1" applyBorder="1" applyAlignment="1">
      <alignment horizontal="center" vertical="center" wrapText="1"/>
    </xf>
    <xf numFmtId="0" fontId="34" fillId="22" borderId="30" xfId="0" applyFont="1" applyFill="1" applyBorder="1" applyAlignment="1">
      <alignment horizontal="center" vertical="center"/>
    </xf>
    <xf numFmtId="0" fontId="34" fillId="22" borderId="32" xfId="0" applyFont="1" applyFill="1" applyBorder="1" applyAlignment="1">
      <alignment horizontal="center" vertical="center"/>
    </xf>
    <xf numFmtId="0" fontId="34" fillId="0" borderId="2" xfId="0" applyFont="1" applyBorder="1" applyAlignment="1">
      <alignment horizontal="center" vertical="center" wrapText="1"/>
    </xf>
    <xf numFmtId="0" fontId="34" fillId="22" borderId="33" xfId="0" applyFont="1" applyFill="1" applyBorder="1" applyAlignment="1">
      <alignment horizontal="center" vertical="center" wrapText="1"/>
    </xf>
    <xf numFmtId="0" fontId="34" fillId="22" borderId="57" xfId="0" applyFont="1" applyFill="1" applyBorder="1" applyAlignment="1">
      <alignment horizontal="center" vertical="center" wrapText="1"/>
    </xf>
    <xf numFmtId="0" fontId="34" fillId="22" borderId="58" xfId="0" applyFont="1" applyFill="1" applyBorder="1" applyAlignment="1">
      <alignment horizontal="center" vertical="center" wrapText="1"/>
    </xf>
    <xf numFmtId="0" fontId="30" fillId="0" borderId="10" xfId="0" applyFont="1" applyBorder="1" applyAlignment="1">
      <alignment horizontal="left" vertical="center" wrapText="1"/>
    </xf>
    <xf numFmtId="0" fontId="30" fillId="0" borderId="0" xfId="0" applyFont="1" applyBorder="1" applyAlignment="1">
      <alignment horizontal="left" vertical="center" wrapText="1"/>
    </xf>
    <xf numFmtId="0" fontId="30" fillId="0" borderId="11" xfId="0" applyFont="1" applyBorder="1" applyAlignment="1">
      <alignment horizontal="left" vertical="center" wrapText="1"/>
    </xf>
    <xf numFmtId="0" fontId="0" fillId="0" borderId="0" xfId="0" applyAlignment="1">
      <alignment horizontal="left" vertical="center"/>
    </xf>
    <xf numFmtId="0" fontId="22" fillId="0" borderId="14" xfId="0" applyFont="1" applyBorder="1" applyAlignment="1">
      <alignment vertical="center" wrapText="1"/>
    </xf>
    <xf numFmtId="0" fontId="22" fillId="0" borderId="0" xfId="0" applyFont="1" applyBorder="1" applyAlignment="1">
      <alignment horizontal="left" vertical="center" wrapText="1"/>
    </xf>
    <xf numFmtId="0" fontId="0" fillId="0" borderId="0" xfId="0" applyBorder="1" applyAlignment="1">
      <alignment horizontal="left" vertical="center" wrapText="1"/>
    </xf>
    <xf numFmtId="0" fontId="32" fillId="23" borderId="24" xfId="0" applyFont="1" applyFill="1" applyBorder="1" applyAlignment="1">
      <alignment horizontal="center" vertical="center" wrapText="1"/>
    </xf>
    <xf numFmtId="0" fontId="32" fillId="23" borderId="23" xfId="0" applyFont="1" applyFill="1" applyBorder="1" applyAlignment="1">
      <alignment horizontal="center" vertical="center" wrapText="1"/>
    </xf>
    <xf numFmtId="0" fontId="32" fillId="23" borderId="22" xfId="0" applyFont="1" applyFill="1" applyBorder="1" applyAlignment="1">
      <alignment horizontal="center" vertical="center" wrapText="1"/>
    </xf>
    <xf numFmtId="0" fontId="23" fillId="0" borderId="0" xfId="3" applyFont="1" applyFill="1" applyAlignment="1">
      <alignment horizontal="left"/>
    </xf>
    <xf numFmtId="0" fontId="2" fillId="0" borderId="0" xfId="3"/>
    <xf numFmtId="0" fontId="24" fillId="0" borderId="0" xfId="3" applyFont="1" applyFill="1" applyAlignment="1">
      <alignment horizontal="left" vertical="top" wrapText="1"/>
    </xf>
    <xf numFmtId="0" fontId="24" fillId="0" borderId="0" xfId="3" applyFont="1" applyFill="1" applyAlignment="1">
      <alignment horizontal="left"/>
    </xf>
    <xf numFmtId="0" fontId="15" fillId="0" borderId="0" xfId="3" applyFont="1" applyFill="1" applyAlignment="1">
      <alignment horizontal="left" vertical="top" wrapText="1"/>
    </xf>
    <xf numFmtId="0" fontId="33" fillId="0" borderId="0" xfId="0" applyFont="1" applyAlignment="1">
      <alignment horizontal="center" vertical="center" wrapText="1"/>
    </xf>
    <xf numFmtId="0" fontId="22" fillId="37" borderId="3" xfId="0" applyFont="1" applyFill="1" applyBorder="1" applyAlignment="1">
      <alignment horizontal="center" vertical="center" wrapText="1"/>
    </xf>
    <xf numFmtId="0" fontId="22" fillId="7" borderId="3" xfId="0" applyFont="1" applyFill="1" applyBorder="1" applyAlignment="1">
      <alignment horizontal="center" vertical="center" wrapText="1"/>
    </xf>
    <xf numFmtId="0" fontId="111" fillId="15" borderId="0" xfId="0" applyFont="1" applyFill="1"/>
  </cellXfs>
  <cellStyles count="117">
    <cellStyle name="Accent3" xfId="116" builtinId="37"/>
    <cellStyle name="Bad 2" xfId="15"/>
    <cellStyle name="Comma" xfId="1" builtinId="3"/>
    <cellStyle name="Comma [0] 2" xfId="78"/>
    <cellStyle name="Comma 10" xfId="79"/>
    <cellStyle name="Comma 11" xfId="80"/>
    <cellStyle name="Comma 12" xfId="81"/>
    <cellStyle name="Comma 12 2" xfId="82"/>
    <cellStyle name="Comma 13" xfId="83"/>
    <cellStyle name="Comma 14" xfId="84"/>
    <cellStyle name="Comma 2" xfId="7"/>
    <cellStyle name="Comma 3" xfId="13"/>
    <cellStyle name="Comma 3 2" xfId="85"/>
    <cellStyle name="Comma 4" xfId="16"/>
    <cellStyle name="Comma 5" xfId="17"/>
    <cellStyle name="Comma 6" xfId="18"/>
    <cellStyle name="Comma 7" xfId="75"/>
    <cellStyle name="Comma 8" xfId="86"/>
    <cellStyle name="Comma 8 2" xfId="87"/>
    <cellStyle name="Comma 9" xfId="88"/>
    <cellStyle name="Currency" xfId="2" builtinId="4"/>
    <cellStyle name="Currency 2" xfId="4"/>
    <cellStyle name="Currency 2 10" xfId="19"/>
    <cellStyle name="Currency 2 11" xfId="20"/>
    <cellStyle name="Currency 2 12" xfId="21"/>
    <cellStyle name="Currency 2 13" xfId="22"/>
    <cellStyle name="Currency 2 14" xfId="23"/>
    <cellStyle name="Currency 2 15" xfId="24"/>
    <cellStyle name="Currency 2 16" xfId="25"/>
    <cellStyle name="Currency 2 17" xfId="26"/>
    <cellStyle name="Currency 2 2" xfId="6"/>
    <cellStyle name="Currency 2 3" xfId="10"/>
    <cellStyle name="Currency 2 4" xfId="27"/>
    <cellStyle name="Currency 2 5" xfId="28"/>
    <cellStyle name="Currency 2 6" xfId="29"/>
    <cellStyle name="Currency 2 7" xfId="30"/>
    <cellStyle name="Currency 2 8" xfId="31"/>
    <cellStyle name="Currency 2 9" xfId="32"/>
    <cellStyle name="Currency 3" xfId="33"/>
    <cellStyle name="Currency 4" xfId="34"/>
    <cellStyle name="Good" xfId="112" builtinId="26"/>
    <cellStyle name="Hyperlink" xfId="111" builtinId="8"/>
    <cellStyle name="Input" xfId="114" builtinId="20"/>
    <cellStyle name="Input 2" xfId="35"/>
    <cellStyle name="Neutral" xfId="113" builtinId="28"/>
    <cellStyle name="Normal" xfId="0" builtinId="0"/>
    <cellStyle name="Normal 10" xfId="89"/>
    <cellStyle name="Normal 11" xfId="90"/>
    <cellStyle name="Normal 12" xfId="91"/>
    <cellStyle name="Normal 13" xfId="92"/>
    <cellStyle name="Normal 14" xfId="93"/>
    <cellStyle name="Normal 14 2" xfId="94"/>
    <cellStyle name="Normal 14 2 2" xfId="95"/>
    <cellStyle name="Normal 15" xfId="96"/>
    <cellStyle name="Normal 15 2" xfId="97"/>
    <cellStyle name="Normal 16" xfId="98"/>
    <cellStyle name="Normal 17" xfId="77"/>
    <cellStyle name="Normal 2" xfId="3"/>
    <cellStyle name="Normal 2 10" xfId="14"/>
    <cellStyle name="Normal 2 11" xfId="36"/>
    <cellStyle name="Normal 2 12" xfId="37"/>
    <cellStyle name="Normal 2 13" xfId="38"/>
    <cellStyle name="Normal 2 14" xfId="39"/>
    <cellStyle name="Normal 2 15" xfId="40"/>
    <cellStyle name="Normal 2 16" xfId="41"/>
    <cellStyle name="Normal 2 17" xfId="42"/>
    <cellStyle name="Normal 2 18" xfId="76"/>
    <cellStyle name="Normal 2 2" xfId="5"/>
    <cellStyle name="Normal 2 2 2" xfId="11"/>
    <cellStyle name="Normal 2 2 3" xfId="12"/>
    <cellStyle name="Normal 2 3" xfId="9"/>
    <cellStyle name="Normal 2 4" xfId="43"/>
    <cellStyle name="Normal 2 5" xfId="44"/>
    <cellStyle name="Normal 2 6" xfId="45"/>
    <cellStyle name="Normal 2 7" xfId="46"/>
    <cellStyle name="Normal 2 8" xfId="47"/>
    <cellStyle name="Normal 2 9" xfId="48"/>
    <cellStyle name="Normal 3" xfId="49"/>
    <cellStyle name="Normal 3 10" xfId="50"/>
    <cellStyle name="Normal 3 11" xfId="51"/>
    <cellStyle name="Normal 3 12" xfId="52"/>
    <cellStyle name="Normal 3 13" xfId="53"/>
    <cellStyle name="Normal 3 14" xfId="54"/>
    <cellStyle name="Normal 3 15" xfId="55"/>
    <cellStyle name="Normal 3 16" xfId="56"/>
    <cellStyle name="Normal 3 2" xfId="57"/>
    <cellStyle name="Normal 3 3" xfId="58"/>
    <cellStyle name="Normal 3 4" xfId="59"/>
    <cellStyle name="Normal 3 5" xfId="60"/>
    <cellStyle name="Normal 3 6" xfId="61"/>
    <cellStyle name="Normal 3 7" xfId="62"/>
    <cellStyle name="Normal 3 8" xfId="63"/>
    <cellStyle name="Normal 3 9" xfId="64"/>
    <cellStyle name="Normal 4" xfId="65"/>
    <cellStyle name="Normal 5" xfId="66"/>
    <cellStyle name="Normal 6" xfId="67"/>
    <cellStyle name="Normal 7" xfId="68"/>
    <cellStyle name="Normal 8" xfId="74"/>
    <cellStyle name="Normal 8 2" xfId="99"/>
    <cellStyle name="Normal 8 3" xfId="100"/>
    <cellStyle name="Normal 9" xfId="101"/>
    <cellStyle name="Note" xfId="115" builtinId="10"/>
    <cellStyle name="Note 2" xfId="102"/>
    <cellStyle name="Percent" xfId="8" builtinId="5"/>
    <cellStyle name="Percent 10" xfId="103"/>
    <cellStyle name="Percent 11" xfId="104"/>
    <cellStyle name="Percent 12" xfId="105"/>
    <cellStyle name="Percent 2" xfId="69"/>
    <cellStyle name="Percent 3" xfId="70"/>
    <cellStyle name="Percent 3 2" xfId="106"/>
    <cellStyle name="Percent 4" xfId="71"/>
    <cellStyle name="Percent 5" xfId="72"/>
    <cellStyle name="Percent 5 2" xfId="107"/>
    <cellStyle name="Percent 6" xfId="73"/>
    <cellStyle name="Percent 7" xfId="108"/>
    <cellStyle name="Percent 8" xfId="109"/>
    <cellStyle name="Percent 9" xfId="110"/>
  </cellStyles>
  <dxfs count="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VMT,</a:t>
            </a:r>
            <a:r>
              <a:rPr lang="en-US" baseline="0"/>
              <a:t> No Build</a:t>
            </a:r>
            <a:endParaRPr lang="en-US"/>
          </a:p>
        </c:rich>
      </c:tx>
      <c:overlay val="0"/>
      <c:spPr>
        <a:noFill/>
        <a:ln>
          <a:noFill/>
        </a:ln>
        <a:effectLst/>
      </c:spPr>
    </c:title>
    <c:autoTitleDeleted val="0"/>
    <c:plotArea>
      <c:layout/>
      <c:lineChart>
        <c:grouping val="standard"/>
        <c:varyColors val="0"/>
        <c:ser>
          <c:idx val="0"/>
          <c:order val="0"/>
          <c:tx>
            <c:strRef>
              <c:f>Emission.Costs!$B$7</c:f>
              <c:strCache>
                <c:ptCount val="1"/>
                <c:pt idx="0">
                  <c:v>VMT Auto, Commute to Work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Emission.Costs!$D$6:$X$6</c:f>
              <c:numCache>
                <c:formatCode>General</c:formatCode>
                <c:ptCount val="21"/>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numCache>
            </c:numRef>
          </c:cat>
          <c:val>
            <c:numRef>
              <c:f>Emission.Costs!$D$7:$X$7</c:f>
              <c:numCache>
                <c:formatCode>#,##0</c:formatCode>
                <c:ptCount val="21"/>
                <c:pt idx="0">
                  <c:v>328208471.54129839</c:v>
                </c:pt>
                <c:pt idx="1">
                  <c:v>330966672.25379324</c:v>
                </c:pt>
                <c:pt idx="2">
                  <c:v>333748052.35326332</c:v>
                </c:pt>
                <c:pt idx="3">
                  <c:v>336552806.63480759</c:v>
                </c:pt>
                <c:pt idx="4">
                  <c:v>339381131.53054529</c:v>
                </c:pt>
                <c:pt idx="5">
                  <c:v>342233225.12337345</c:v>
                </c:pt>
                <c:pt idx="6">
                  <c:v>345109287.16083956</c:v>
                </c:pt>
                <c:pt idx="7">
                  <c:v>348009519.06913096</c:v>
                </c:pt>
                <c:pt idx="8">
                  <c:v>350934123.96718186</c:v>
                </c:pt>
                <c:pt idx="9">
                  <c:v>353883306.68089879</c:v>
                </c:pt>
                <c:pt idx="10">
                  <c:v>356857273.75750566</c:v>
                </c:pt>
                <c:pt idx="11">
                  <c:v>359856233.48000956</c:v>
                </c:pt>
                <c:pt idx="12">
                  <c:v>362880395.88178772</c:v>
                </c:pt>
                <c:pt idx="13">
                  <c:v>365929972.76129746</c:v>
                </c:pt>
                <c:pt idx="14">
                  <c:v>369005177.69690943</c:v>
                </c:pt>
                <c:pt idx="15">
                  <c:v>372106226.06186557</c:v>
                </c:pt>
                <c:pt idx="16">
                  <c:v>375233335.03936327</c:v>
                </c:pt>
                <c:pt idx="17">
                  <c:v>378386723.63776565</c:v>
                </c:pt>
                <c:pt idx="18">
                  <c:v>381566612.70593965</c:v>
                </c:pt>
                <c:pt idx="19">
                  <c:v>384773224.94872373</c:v>
                </c:pt>
                <c:pt idx="20">
                  <c:v>388006784.94252479</c:v>
                </c:pt>
              </c:numCache>
            </c:numRef>
          </c:val>
          <c:smooth val="0"/>
        </c:ser>
        <c:ser>
          <c:idx val="1"/>
          <c:order val="1"/>
          <c:tx>
            <c:strRef>
              <c:f>Emission.Costs!$B$8</c:f>
              <c:strCache>
                <c:ptCount val="1"/>
                <c:pt idx="0">
                  <c:v>VMT Auto, Business Trips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Emission.Costs!$D$6:$X$6</c:f>
              <c:numCache>
                <c:formatCode>General</c:formatCode>
                <c:ptCount val="21"/>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numCache>
            </c:numRef>
          </c:cat>
          <c:val>
            <c:numRef>
              <c:f>Emission.Costs!$D$8:$X$8</c:f>
              <c:numCache>
                <c:formatCode>#,##0</c:formatCode>
                <c:ptCount val="21"/>
                <c:pt idx="0">
                  <c:v>177812159.16264874</c:v>
                </c:pt>
                <c:pt idx="1">
                  <c:v>177951687.01386541</c:v>
                </c:pt>
                <c:pt idx="2">
                  <c:v>178091324.35152757</c:v>
                </c:pt>
                <c:pt idx="3">
                  <c:v>178231071.26154837</c:v>
                </c:pt>
                <c:pt idx="4">
                  <c:v>178370927.82990837</c:v>
                </c:pt>
                <c:pt idx="5">
                  <c:v>178510894.1426557</c:v>
                </c:pt>
                <c:pt idx="6">
                  <c:v>178650970.28590593</c:v>
                </c:pt>
                <c:pt idx="7">
                  <c:v>178791156.34584215</c:v>
                </c:pt>
                <c:pt idx="8">
                  <c:v>178931452.40871525</c:v>
                </c:pt>
                <c:pt idx="9">
                  <c:v>179071858.56084365</c:v>
                </c:pt>
                <c:pt idx="10">
                  <c:v>179212374.88861361</c:v>
                </c:pt>
                <c:pt idx="11">
                  <c:v>179353001.47847897</c:v>
                </c:pt>
                <c:pt idx="12">
                  <c:v>179493738.4169617</c:v>
                </c:pt>
                <c:pt idx="13">
                  <c:v>179634585.79065153</c:v>
                </c:pt>
                <c:pt idx="14">
                  <c:v>179775543.68620604</c:v>
                </c:pt>
                <c:pt idx="15">
                  <c:v>179916612.19035089</c:v>
                </c:pt>
                <c:pt idx="16">
                  <c:v>180057791.38987991</c:v>
                </c:pt>
                <c:pt idx="17">
                  <c:v>180199081.37165487</c:v>
                </c:pt>
                <c:pt idx="18">
                  <c:v>180340482.22260574</c:v>
                </c:pt>
                <c:pt idx="19">
                  <c:v>180481994.02973074</c:v>
                </c:pt>
                <c:pt idx="20">
                  <c:v>180623616.88009629</c:v>
                </c:pt>
              </c:numCache>
            </c:numRef>
          </c:val>
          <c:smooth val="0"/>
        </c:ser>
        <c:ser>
          <c:idx val="3"/>
          <c:order val="2"/>
          <c:tx>
            <c:strRef>
              <c:f>Emission.Costs!$B$9</c:f>
              <c:strCache>
                <c:ptCount val="1"/>
                <c:pt idx="0">
                  <c:v>VMT Auto, All Other Purposes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Emission.Costs!$D$6:$X$6</c:f>
              <c:numCache>
                <c:formatCode>General</c:formatCode>
                <c:ptCount val="21"/>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numCache>
            </c:numRef>
          </c:cat>
          <c:val>
            <c:numRef>
              <c:f>Emission.Costs!$D$9:$X$9</c:f>
              <c:numCache>
                <c:formatCode>#,##0</c:formatCode>
                <c:ptCount val="21"/>
                <c:pt idx="0">
                  <c:v>108020089.30769104</c:v>
                </c:pt>
                <c:pt idx="1">
                  <c:v>108917038.63514632</c:v>
                </c:pt>
                <c:pt idx="2">
                  <c:v>109821435.81883998</c:v>
                </c:pt>
                <c:pt idx="3">
                  <c:v>110733342.70235769</c:v>
                </c:pt>
                <c:pt idx="4">
                  <c:v>111652821.6428059</c:v>
                </c:pt>
                <c:pt idx="5">
                  <c:v>112579935.51507585</c:v>
                </c:pt>
                <c:pt idx="6">
                  <c:v>113514747.7161431</c:v>
                </c:pt>
                <c:pt idx="7">
                  <c:v>114457322.1694027</c:v>
                </c:pt>
                <c:pt idx="8">
                  <c:v>115407723.32904024</c:v>
                </c:pt>
                <c:pt idx="9">
                  <c:v>116366016.18443927</c:v>
                </c:pt>
                <c:pt idx="10">
                  <c:v>117332266.26462553</c:v>
                </c:pt>
                <c:pt idx="11">
                  <c:v>118306539.64274769</c:v>
                </c:pt>
                <c:pt idx="12">
                  <c:v>119288902.94059554</c:v>
                </c:pt>
                <c:pt idx="13">
                  <c:v>120279423.33315578</c:v>
                </c:pt>
                <c:pt idx="14">
                  <c:v>121278168.55320533</c:v>
                </c:pt>
                <c:pt idx="15">
                  <c:v>122285206.89594311</c:v>
                </c:pt>
                <c:pt idx="16">
                  <c:v>123300607.22366008</c:v>
                </c:pt>
                <c:pt idx="17">
                  <c:v>124324438.97044809</c:v>
                </c:pt>
                <c:pt idx="18">
                  <c:v>125356772.14694786</c:v>
                </c:pt>
                <c:pt idx="19">
                  <c:v>126397677.34513642</c:v>
                </c:pt>
                <c:pt idx="20">
                  <c:v>127447225.74315426</c:v>
                </c:pt>
              </c:numCache>
            </c:numRef>
          </c:val>
          <c:smooth val="0"/>
        </c:ser>
        <c:ser>
          <c:idx val="4"/>
          <c:order val="3"/>
          <c:tx>
            <c:strRef>
              <c:f>Emission.Costs!$B$10</c:f>
              <c:strCache>
                <c:ptCount val="1"/>
                <c:pt idx="0">
                  <c:v>VMT Trucks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Emission.Costs!$D$6:$X$6</c:f>
              <c:numCache>
                <c:formatCode>General</c:formatCode>
                <c:ptCount val="21"/>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numCache>
            </c:numRef>
          </c:cat>
          <c:val>
            <c:numRef>
              <c:f>Emission.Costs!$D$10:$X$10</c:f>
              <c:numCache>
                <c:formatCode>#,##0</c:formatCode>
                <c:ptCount val="21"/>
                <c:pt idx="0">
                  <c:v>47512403.086307317</c:v>
                </c:pt>
                <c:pt idx="1">
                  <c:v>47823729.657975234</c:v>
                </c:pt>
                <c:pt idx="2">
                  <c:v>48137096.207163334</c:v>
                </c:pt>
                <c:pt idx="3">
                  <c:v>48452516.100890905</c:v>
                </c:pt>
                <c:pt idx="4">
                  <c:v>48770002.793765053</c:v>
                </c:pt>
                <c:pt idx="5">
                  <c:v>49089569.8285546</c:v>
                </c:pt>
                <c:pt idx="6">
                  <c:v>49411230.836767867</c:v>
                </c:pt>
                <c:pt idx="7">
                  <c:v>49734999.539234027</c:v>
                </c:pt>
                <c:pt idx="8">
                  <c:v>50060889.746688448</c:v>
                </c:pt>
                <c:pt idx="9">
                  <c:v>50388915.360361814</c:v>
                </c:pt>
                <c:pt idx="10">
                  <c:v>50719090.37257304</c:v>
                </c:pt>
                <c:pt idx="11">
                  <c:v>51051428.867326185</c:v>
                </c:pt>
                <c:pt idx="12">
                  <c:v>51385945.020911202</c:v>
                </c:pt>
                <c:pt idx="13">
                  <c:v>51722653.102508679</c:v>
                </c:pt>
                <c:pt idx="14">
                  <c:v>52061567.474798411</c:v>
                </c:pt>
                <c:pt idx="15">
                  <c:v>52402702.594572172</c:v>
                </c:pt>
                <c:pt idx="16">
                  <c:v>52746073.013350315</c:v>
                </c:pt>
                <c:pt idx="17">
                  <c:v>53091693.378002509</c:v>
                </c:pt>
                <c:pt idx="18">
                  <c:v>53439578.431372523</c:v>
                </c:pt>
                <c:pt idx="19">
                  <c:v>53789743.012907073</c:v>
                </c:pt>
                <c:pt idx="20">
                  <c:v>54142202.059288852</c:v>
                </c:pt>
              </c:numCache>
            </c:numRef>
          </c:val>
          <c:smooth val="0"/>
        </c:ser>
        <c:dLbls>
          <c:showLegendKey val="0"/>
          <c:showVal val="0"/>
          <c:showCatName val="0"/>
          <c:showSerName val="0"/>
          <c:showPercent val="0"/>
          <c:showBubbleSize val="0"/>
        </c:dLbls>
        <c:marker val="1"/>
        <c:smooth val="0"/>
        <c:axId val="138486144"/>
        <c:axId val="138489216"/>
      </c:lineChart>
      <c:catAx>
        <c:axId val="138486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489216"/>
        <c:crosses val="autoZero"/>
        <c:auto val="1"/>
        <c:lblAlgn val="ctr"/>
        <c:lblOffset val="100"/>
        <c:noMultiLvlLbl val="0"/>
      </c:catAx>
      <c:valAx>
        <c:axId val="138489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486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VMT,</a:t>
            </a:r>
            <a:r>
              <a:rPr lang="en-US" baseline="0"/>
              <a:t> Build</a:t>
            </a:r>
            <a:endParaRPr lang="en-US"/>
          </a:p>
        </c:rich>
      </c:tx>
      <c:overlay val="0"/>
      <c:spPr>
        <a:noFill/>
        <a:ln>
          <a:noFill/>
        </a:ln>
        <a:effectLst/>
      </c:spPr>
    </c:title>
    <c:autoTitleDeleted val="0"/>
    <c:plotArea>
      <c:layout/>
      <c:lineChart>
        <c:grouping val="standard"/>
        <c:varyColors val="0"/>
        <c:ser>
          <c:idx val="0"/>
          <c:order val="0"/>
          <c:tx>
            <c:strRef>
              <c:f>Emission.Costs!$B$16</c:f>
              <c:strCache>
                <c:ptCount val="1"/>
                <c:pt idx="0">
                  <c:v>VMT Auto, Commute to Work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Emission.Costs!$D$15:$X$15</c:f>
              <c:numCache>
                <c:formatCode>General</c:formatCode>
                <c:ptCount val="21"/>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numCache>
            </c:numRef>
          </c:cat>
          <c:val>
            <c:numRef>
              <c:f>Emission.Costs!$D$16:$X$16</c:f>
              <c:numCache>
                <c:formatCode>#,##0</c:formatCode>
                <c:ptCount val="21"/>
                <c:pt idx="0">
                  <c:v>379448813.98219019</c:v>
                </c:pt>
                <c:pt idx="1">
                  <c:v>383417061.16706127</c:v>
                </c:pt>
                <c:pt idx="2">
                  <c:v>387426807.98281795</c:v>
                </c:pt>
                <c:pt idx="3">
                  <c:v>391478488.42948186</c:v>
                </c:pt>
                <c:pt idx="4">
                  <c:v>395572541.04581386</c:v>
                </c:pt>
                <c:pt idx="5">
                  <c:v>399709408.95678085</c:v>
                </c:pt>
                <c:pt idx="6">
                  <c:v>403889539.9215166</c:v>
                </c:pt>
                <c:pt idx="7">
                  <c:v>408113386.38178694</c:v>
                </c:pt>
                <c:pt idx="8">
                  <c:v>412381405.51095927</c:v>
                </c:pt>
                <c:pt idx="9">
                  <c:v>416694059.26348585</c:v>
                </c:pt>
                <c:pt idx="10">
                  <c:v>421051814.42490387</c:v>
                </c:pt>
                <c:pt idx="11">
                  <c:v>425455142.66235864</c:v>
                </c:pt>
                <c:pt idx="12">
                  <c:v>429904520.57565498</c:v>
                </c:pt>
                <c:pt idx="13">
                  <c:v>434400429.74884272</c:v>
                </c:pt>
                <c:pt idx="14">
                  <c:v>438943356.80234122</c:v>
                </c:pt>
                <c:pt idx="15">
                  <c:v>443533793.44561011</c:v>
                </c:pt>
                <c:pt idx="16">
                  <c:v>448172236.53036928</c:v>
                </c:pt>
                <c:pt idx="17">
                  <c:v>452859188.10437661</c:v>
                </c:pt>
                <c:pt idx="18">
                  <c:v>457595155.46576762</c:v>
                </c:pt>
                <c:pt idx="19">
                  <c:v>462380651.21796399</c:v>
                </c:pt>
                <c:pt idx="20">
                  <c:v>467216193.32515496</c:v>
                </c:pt>
              </c:numCache>
            </c:numRef>
          </c:val>
          <c:smooth val="0"/>
        </c:ser>
        <c:ser>
          <c:idx val="1"/>
          <c:order val="1"/>
          <c:tx>
            <c:strRef>
              <c:f>Emission.Costs!$B$17</c:f>
              <c:strCache>
                <c:ptCount val="1"/>
                <c:pt idx="0">
                  <c:v>VMT Auto, Business Trips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Emission.Costs!$D$15:$X$15</c:f>
              <c:numCache>
                <c:formatCode>General</c:formatCode>
                <c:ptCount val="21"/>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numCache>
            </c:numRef>
          </c:cat>
          <c:val>
            <c:numRef>
              <c:f>Emission.Costs!$D$17:$X$17</c:f>
              <c:numCache>
                <c:formatCode>#,##0</c:formatCode>
                <c:ptCount val="21"/>
                <c:pt idx="0">
                  <c:v>205981376.3284108</c:v>
                </c:pt>
                <c:pt idx="1">
                  <c:v>206544196.519658</c:v>
                </c:pt>
                <c:pt idx="2">
                  <c:v>207108554.55172035</c:v>
                </c:pt>
                <c:pt idx="3">
                  <c:v>207674454.62656927</c:v>
                </c:pt>
                <c:pt idx="4">
                  <c:v>208241900.95765764</c:v>
                </c:pt>
                <c:pt idx="5">
                  <c:v>208810897.76995102</c:v>
                </c:pt>
                <c:pt idx="6">
                  <c:v>209381449.2999593</c:v>
                </c:pt>
                <c:pt idx="7">
                  <c:v>209953559.79576808</c:v>
                </c:pt>
                <c:pt idx="8">
                  <c:v>210527233.51707035</c:v>
                </c:pt>
                <c:pt idx="9">
                  <c:v>211102474.73519826</c:v>
                </c:pt>
                <c:pt idx="10">
                  <c:v>211679287.73315492</c:v>
                </c:pt>
                <c:pt idx="11">
                  <c:v>212257676.80564606</c:v>
                </c:pt>
                <c:pt idx="12">
                  <c:v>212837646.25911251</c:v>
                </c:pt>
                <c:pt idx="13">
                  <c:v>213419200.41176152</c:v>
                </c:pt>
                <c:pt idx="14">
                  <c:v>214002343.59359983</c:v>
                </c:pt>
                <c:pt idx="15">
                  <c:v>214587080.14646497</c:v>
                </c:pt>
                <c:pt idx="16">
                  <c:v>215173414.42405835</c:v>
                </c:pt>
                <c:pt idx="17">
                  <c:v>215761350.79197726</c:v>
                </c:pt>
                <c:pt idx="18">
                  <c:v>216350893.62774748</c:v>
                </c:pt>
                <c:pt idx="19">
                  <c:v>216942047.32085577</c:v>
                </c:pt>
                <c:pt idx="20">
                  <c:v>217534816.27278283</c:v>
                </c:pt>
              </c:numCache>
            </c:numRef>
          </c:val>
          <c:smooth val="0"/>
        </c:ser>
        <c:ser>
          <c:idx val="3"/>
          <c:order val="2"/>
          <c:tx>
            <c:strRef>
              <c:f>Emission.Costs!$B$18</c:f>
              <c:strCache>
                <c:ptCount val="1"/>
                <c:pt idx="0">
                  <c:v>VMT Auto, All Other Purposes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Emission.Costs!$D$15:$X$15</c:f>
              <c:numCache>
                <c:formatCode>General</c:formatCode>
                <c:ptCount val="21"/>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numCache>
            </c:numRef>
          </c:cat>
          <c:val>
            <c:numRef>
              <c:f>Emission.Costs!$D$18:$X$18</c:f>
              <c:numCache>
                <c:formatCode>#,##0</c:formatCode>
                <c:ptCount val="21"/>
                <c:pt idx="0">
                  <c:v>124894315.15420036</c:v>
                </c:pt>
                <c:pt idx="1">
                  <c:v>126188184.48332641</c:v>
                </c:pt>
                <c:pt idx="2">
                  <c:v>127495457.9280744</c:v>
                </c:pt>
                <c:pt idx="3">
                  <c:v>128816274.35124263</c:v>
                </c:pt>
                <c:pt idx="4">
                  <c:v>130150774.05420808</c:v>
                </c:pt>
                <c:pt idx="5">
                  <c:v>131499098.79182999</c:v>
                </c:pt>
                <c:pt idx="6">
                  <c:v>132861391.78750716</c:v>
                </c:pt>
                <c:pt idx="7">
                  <c:v>134237797.74839184</c:v>
                </c:pt>
                <c:pt idx="8">
                  <c:v>135628462.88076097</c:v>
                </c:pt>
                <c:pt idx="9">
                  <c:v>137033534.90554661</c:v>
                </c:pt>
                <c:pt idx="10">
                  <c:v>138453163.0740273</c:v>
                </c:pt>
                <c:pt idx="11">
                  <c:v>139887498.18368214</c:v>
                </c:pt>
                <c:pt idx="12">
                  <c:v>141336692.59420896</c:v>
                </c:pt>
                <c:pt idx="13">
                  <c:v>142800900.24370831</c:v>
                </c:pt>
                <c:pt idx="14">
                  <c:v>144280276.66503546</c:v>
                </c:pt>
                <c:pt idx="15">
                  <c:v>145774979.00232136</c:v>
                </c:pt>
                <c:pt idx="16">
                  <c:v>147285166.02766532</c:v>
                </c:pt>
                <c:pt idx="17">
                  <c:v>148810998.15800005</c:v>
                </c:pt>
                <c:pt idx="18">
                  <c:v>150352637.47213176</c:v>
                </c:pt>
                <c:pt idx="19">
                  <c:v>151910247.72795659</c:v>
                </c:pt>
                <c:pt idx="20">
                  <c:v>153483994.37985557</c:v>
                </c:pt>
              </c:numCache>
            </c:numRef>
          </c:val>
          <c:smooth val="0"/>
        </c:ser>
        <c:ser>
          <c:idx val="4"/>
          <c:order val="3"/>
          <c:tx>
            <c:strRef>
              <c:f>Emission.Costs!$B$19</c:f>
              <c:strCache>
                <c:ptCount val="1"/>
                <c:pt idx="0">
                  <c:v>VMT Trucks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Emission.Costs!$D$15:$X$15</c:f>
              <c:numCache>
                <c:formatCode>General</c:formatCode>
                <c:ptCount val="21"/>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numCache>
            </c:numRef>
          </c:cat>
          <c:val>
            <c:numRef>
              <c:f>Emission.Costs!$D$19:$X$19</c:f>
              <c:numCache>
                <c:formatCode>#,##0</c:formatCode>
                <c:ptCount val="21"/>
                <c:pt idx="0">
                  <c:v>43316911.764705881</c:v>
                </c:pt>
                <c:pt idx="1">
                  <c:v>44290358.775713623</c:v>
                </c:pt>
                <c:pt idx="2">
                  <c:v>45285681.747971497</c:v>
                </c:pt>
                <c:pt idx="3">
                  <c:v>46303372.292913094</c:v>
                </c:pt>
                <c:pt idx="4">
                  <c:v>47343933.069797494</c:v>
                </c:pt>
                <c:pt idx="5">
                  <c:v>48407878.033983424</c:v>
                </c:pt>
                <c:pt idx="6">
                  <c:v>49495732.690782927</c:v>
                </c:pt>
                <c:pt idx="7">
                  <c:v>50608034.355019726</c:v>
                </c:pt>
                <c:pt idx="8">
                  <c:v>51745332.416420579</c:v>
                </c:pt>
                <c:pt idx="9">
                  <c:v>52908188.610970639</c:v>
                </c:pt>
                <c:pt idx="10">
                  <c:v>54097177.298367038</c:v>
                </c:pt>
                <c:pt idx="11">
                  <c:v>55312885.74570743</c:v>
                </c:pt>
                <c:pt idx="12">
                  <c:v>56555914.417553887</c:v>
                </c:pt>
                <c:pt idx="13">
                  <c:v>57826877.272515193</c:v>
                </c:pt>
                <c:pt idx="14">
                  <c:v>59126402.066494316</c:v>
                </c:pt>
                <c:pt idx="15">
                  <c:v>60455130.662750512</c:v>
                </c:pt>
                <c:pt idx="16">
                  <c:v>61813719.348929383</c:v>
                </c:pt>
                <c:pt idx="17">
                  <c:v>63202839.161217436</c:v>
                </c:pt>
                <c:pt idx="18">
                  <c:v>64623176.21578142</c:v>
                </c:pt>
                <c:pt idx="19">
                  <c:v>66075432.047655731</c:v>
                </c:pt>
                <c:pt idx="20">
                  <c:v>67560323.957245752</c:v>
                </c:pt>
              </c:numCache>
            </c:numRef>
          </c:val>
          <c:smooth val="0"/>
        </c:ser>
        <c:dLbls>
          <c:showLegendKey val="0"/>
          <c:showVal val="0"/>
          <c:showCatName val="0"/>
          <c:showSerName val="0"/>
          <c:showPercent val="0"/>
          <c:showBubbleSize val="0"/>
        </c:dLbls>
        <c:marker val="1"/>
        <c:smooth val="0"/>
        <c:axId val="138541312"/>
        <c:axId val="151847296"/>
      </c:lineChart>
      <c:catAx>
        <c:axId val="13854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847296"/>
        <c:crosses val="autoZero"/>
        <c:auto val="1"/>
        <c:lblAlgn val="ctr"/>
        <c:lblOffset val="100"/>
        <c:noMultiLvlLbl val="0"/>
      </c:catAx>
      <c:valAx>
        <c:axId val="151847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541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VMT</a:t>
            </a:r>
          </a:p>
        </c:rich>
      </c:tx>
      <c:layout/>
      <c:overlay val="0"/>
      <c:spPr>
        <a:noFill/>
        <a:ln>
          <a:noFill/>
        </a:ln>
        <a:effectLst/>
      </c:spPr>
    </c:title>
    <c:autoTitleDeleted val="0"/>
    <c:plotArea>
      <c:layout/>
      <c:lineChart>
        <c:grouping val="standard"/>
        <c:varyColors val="0"/>
        <c:ser>
          <c:idx val="0"/>
          <c:order val="0"/>
          <c:tx>
            <c:strRef>
              <c:f>'Build.vs.No-Build'!$B$4</c:f>
              <c:strCache>
                <c:ptCount val="1"/>
                <c:pt idx="0">
                  <c:v>Auto.Leisure.VMT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'Build.vs.No-Build'!$F$3:$W$3</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'Build.vs.No-Build'!$F$4:$W$4</c:f>
              <c:numCache>
                <c:formatCode>#,##0</c:formatCode>
                <c:ptCount val="18"/>
                <c:pt idx="0">
                  <c:v>328208471.54129839</c:v>
                </c:pt>
                <c:pt idx="1">
                  <c:v>330966672.25379324</c:v>
                </c:pt>
                <c:pt idx="2">
                  <c:v>333748052.35326332</c:v>
                </c:pt>
                <c:pt idx="3">
                  <c:v>336552806.63480759</c:v>
                </c:pt>
                <c:pt idx="4">
                  <c:v>339381131.53054529</c:v>
                </c:pt>
                <c:pt idx="5">
                  <c:v>342233225.12337345</c:v>
                </c:pt>
                <c:pt idx="6">
                  <c:v>345109287.16083956</c:v>
                </c:pt>
                <c:pt idx="7">
                  <c:v>348009519.06913096</c:v>
                </c:pt>
                <c:pt idx="8">
                  <c:v>350934123.96718186</c:v>
                </c:pt>
                <c:pt idx="9">
                  <c:v>353883306.68089879</c:v>
                </c:pt>
                <c:pt idx="10">
                  <c:v>356857273.75750566</c:v>
                </c:pt>
                <c:pt idx="11">
                  <c:v>359856233.48000956</c:v>
                </c:pt>
                <c:pt idx="12">
                  <c:v>362880395.88178772</c:v>
                </c:pt>
                <c:pt idx="13">
                  <c:v>365929972.76129746</c:v>
                </c:pt>
                <c:pt idx="14">
                  <c:v>369005177.69690943</c:v>
                </c:pt>
                <c:pt idx="15">
                  <c:v>372106226.06186557</c:v>
                </c:pt>
                <c:pt idx="16">
                  <c:v>375233335.03936327</c:v>
                </c:pt>
                <c:pt idx="17">
                  <c:v>378386723.63776565</c:v>
                </c:pt>
              </c:numCache>
            </c:numRef>
          </c:val>
          <c:smooth val="0"/>
        </c:ser>
        <c:ser>
          <c:idx val="1"/>
          <c:order val="1"/>
          <c:tx>
            <c:strRef>
              <c:f>'Build.vs.No-Build'!$B$5</c:f>
              <c:strCache>
                <c:ptCount val="1"/>
                <c:pt idx="0">
                  <c:v>Auto.Commute.VMT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'Build.vs.No-Build'!$F$3:$W$3</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'Build.vs.No-Build'!$F$5:$W$5</c:f>
              <c:numCache>
                <c:formatCode>#,##0</c:formatCode>
                <c:ptCount val="18"/>
                <c:pt idx="0">
                  <c:v>177812159.16264874</c:v>
                </c:pt>
                <c:pt idx="1">
                  <c:v>177951687.01386541</c:v>
                </c:pt>
                <c:pt idx="2">
                  <c:v>178091324.35152757</c:v>
                </c:pt>
                <c:pt idx="3">
                  <c:v>178231071.26154837</c:v>
                </c:pt>
                <c:pt idx="4">
                  <c:v>178370927.82990837</c:v>
                </c:pt>
                <c:pt idx="5">
                  <c:v>178510894.1426557</c:v>
                </c:pt>
                <c:pt idx="6">
                  <c:v>178650970.28590593</c:v>
                </c:pt>
                <c:pt idx="7">
                  <c:v>178791156.34584215</c:v>
                </c:pt>
                <c:pt idx="8">
                  <c:v>178931452.40871525</c:v>
                </c:pt>
                <c:pt idx="9">
                  <c:v>179071858.56084365</c:v>
                </c:pt>
                <c:pt idx="10">
                  <c:v>179212374.88861361</c:v>
                </c:pt>
                <c:pt idx="11">
                  <c:v>179353001.47847897</c:v>
                </c:pt>
                <c:pt idx="12">
                  <c:v>179493738.4169617</c:v>
                </c:pt>
                <c:pt idx="13">
                  <c:v>179634585.79065153</c:v>
                </c:pt>
                <c:pt idx="14">
                  <c:v>179775543.68620604</c:v>
                </c:pt>
                <c:pt idx="15">
                  <c:v>179916612.19035089</c:v>
                </c:pt>
                <c:pt idx="16">
                  <c:v>180057791.38987991</c:v>
                </c:pt>
                <c:pt idx="17">
                  <c:v>180199081.37165487</c:v>
                </c:pt>
              </c:numCache>
            </c:numRef>
          </c:val>
          <c:smooth val="0"/>
        </c:ser>
        <c:ser>
          <c:idx val="2"/>
          <c:order val="2"/>
          <c:tx>
            <c:strRef>
              <c:f>'Build.vs.No-Build'!$B$6</c:f>
              <c:strCache>
                <c:ptCount val="1"/>
                <c:pt idx="0">
                  <c:v>Auto.Business.VMT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'Build.vs.No-Build'!$F$3:$W$3</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'Build.vs.No-Build'!$F$6:$W$6</c:f>
              <c:numCache>
                <c:formatCode>#,##0</c:formatCode>
                <c:ptCount val="18"/>
                <c:pt idx="0">
                  <c:v>108020089.30769104</c:v>
                </c:pt>
                <c:pt idx="1">
                  <c:v>108917038.63514632</c:v>
                </c:pt>
                <c:pt idx="2">
                  <c:v>109821435.81883998</c:v>
                </c:pt>
                <c:pt idx="3">
                  <c:v>110733342.70235769</c:v>
                </c:pt>
                <c:pt idx="4">
                  <c:v>111652821.6428059</c:v>
                </c:pt>
                <c:pt idx="5">
                  <c:v>112579935.51507585</c:v>
                </c:pt>
                <c:pt idx="6">
                  <c:v>113514747.7161431</c:v>
                </c:pt>
                <c:pt idx="7">
                  <c:v>114457322.1694027</c:v>
                </c:pt>
                <c:pt idx="8">
                  <c:v>115407723.32904024</c:v>
                </c:pt>
                <c:pt idx="9">
                  <c:v>116366016.18443927</c:v>
                </c:pt>
                <c:pt idx="10">
                  <c:v>117332266.26462553</c:v>
                </c:pt>
                <c:pt idx="11">
                  <c:v>118306539.64274769</c:v>
                </c:pt>
                <c:pt idx="12">
                  <c:v>119288902.94059554</c:v>
                </c:pt>
                <c:pt idx="13">
                  <c:v>120279423.33315578</c:v>
                </c:pt>
                <c:pt idx="14">
                  <c:v>121278168.55320533</c:v>
                </c:pt>
                <c:pt idx="15">
                  <c:v>122285206.89594311</c:v>
                </c:pt>
                <c:pt idx="16">
                  <c:v>123300607.22366008</c:v>
                </c:pt>
                <c:pt idx="17">
                  <c:v>124324438.97044809</c:v>
                </c:pt>
              </c:numCache>
            </c:numRef>
          </c:val>
          <c:smooth val="0"/>
        </c:ser>
        <c:ser>
          <c:idx val="3"/>
          <c:order val="3"/>
          <c:tx>
            <c:strRef>
              <c:f>'Build.vs.No-Build'!$B$7</c:f>
              <c:strCache>
                <c:ptCount val="1"/>
                <c:pt idx="0">
                  <c:v>Truck.VMT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'Build.vs.No-Build'!$F$3:$W$3</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'Build.vs.No-Build'!$F$7:$W$7</c:f>
              <c:numCache>
                <c:formatCode>#,##0</c:formatCode>
                <c:ptCount val="18"/>
                <c:pt idx="0">
                  <c:v>47512403.086307317</c:v>
                </c:pt>
                <c:pt idx="1">
                  <c:v>47823729.657975234</c:v>
                </c:pt>
                <c:pt idx="2">
                  <c:v>48137096.207163334</c:v>
                </c:pt>
                <c:pt idx="3">
                  <c:v>48452516.100890905</c:v>
                </c:pt>
                <c:pt idx="4">
                  <c:v>48770002.793765053</c:v>
                </c:pt>
                <c:pt idx="5">
                  <c:v>49089569.8285546</c:v>
                </c:pt>
                <c:pt idx="6">
                  <c:v>49411230.836767867</c:v>
                </c:pt>
                <c:pt idx="7">
                  <c:v>49734999.539234027</c:v>
                </c:pt>
                <c:pt idx="8">
                  <c:v>50060889.746688448</c:v>
                </c:pt>
                <c:pt idx="9">
                  <c:v>50388915.360361814</c:v>
                </c:pt>
                <c:pt idx="10">
                  <c:v>50719090.37257304</c:v>
                </c:pt>
                <c:pt idx="11">
                  <c:v>51051428.867326185</c:v>
                </c:pt>
                <c:pt idx="12">
                  <c:v>51385945.020911202</c:v>
                </c:pt>
                <c:pt idx="13">
                  <c:v>51722653.102508679</c:v>
                </c:pt>
                <c:pt idx="14">
                  <c:v>52061567.474798411</c:v>
                </c:pt>
                <c:pt idx="15">
                  <c:v>52402702.594572172</c:v>
                </c:pt>
                <c:pt idx="16">
                  <c:v>52746073.013350315</c:v>
                </c:pt>
                <c:pt idx="17">
                  <c:v>53091693.378002509</c:v>
                </c:pt>
              </c:numCache>
            </c:numRef>
          </c:val>
          <c:smooth val="0"/>
        </c:ser>
        <c:dLbls>
          <c:showLegendKey val="0"/>
          <c:showVal val="0"/>
          <c:showCatName val="0"/>
          <c:showSerName val="0"/>
          <c:showPercent val="0"/>
          <c:showBubbleSize val="0"/>
        </c:dLbls>
        <c:marker val="1"/>
        <c:smooth val="0"/>
        <c:axId val="163611008"/>
        <c:axId val="163612928"/>
        <c:extLst/>
      </c:lineChart>
      <c:catAx>
        <c:axId val="16361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612928"/>
        <c:crosses val="autoZero"/>
        <c:auto val="1"/>
        <c:lblAlgn val="ctr"/>
        <c:lblOffset val="100"/>
        <c:noMultiLvlLbl val="0"/>
      </c:catAx>
      <c:valAx>
        <c:axId val="16361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61100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VMT Changes</a:t>
            </a:r>
          </a:p>
        </c:rich>
      </c:tx>
      <c:overlay val="0"/>
      <c:spPr>
        <a:noFill/>
        <a:ln>
          <a:noFill/>
        </a:ln>
        <a:effectLst/>
      </c:spPr>
    </c:title>
    <c:autoTitleDeleted val="0"/>
    <c:plotArea>
      <c:layout/>
      <c:lineChart>
        <c:grouping val="standard"/>
        <c:varyColors val="0"/>
        <c:ser>
          <c:idx val="0"/>
          <c:order val="0"/>
          <c:tx>
            <c:strRef>
              <c:f>'Build.vs.No-Build'!$B$145</c:f>
              <c:strCache>
                <c:ptCount val="1"/>
                <c:pt idx="0">
                  <c:v>Auto.Leisure.VMT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'Build.vs.No-Build'!$F$3:$W$3</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'Build.vs.No-Build'!$F$145:$W$145</c:f>
              <c:numCache>
                <c:formatCode>#,##0</c:formatCode>
                <c:ptCount val="18"/>
                <c:pt idx="0">
                  <c:v>51240342.440891802</c:v>
                </c:pt>
                <c:pt idx="1">
                  <c:v>52450388.91326803</c:v>
                </c:pt>
                <c:pt idx="2">
                  <c:v>53678755.629554629</c:v>
                </c:pt>
                <c:pt idx="3">
                  <c:v>54925681.794674277</c:v>
                </c:pt>
                <c:pt idx="4">
                  <c:v>56191409.515268564</c:v>
                </c:pt>
                <c:pt idx="5">
                  <c:v>57476183.833407402</c:v>
                </c:pt>
                <c:pt idx="6">
                  <c:v>58780252.76067704</c:v>
                </c:pt>
                <c:pt idx="7">
                  <c:v>60103867.312655985</c:v>
                </c:pt>
                <c:pt idx="8">
                  <c:v>61447281.543777406</c:v>
                </c:pt>
                <c:pt idx="9">
                  <c:v>62810752.582587063</c:v>
                </c:pt>
                <c:pt idx="10">
                  <c:v>64194540.667398214</c:v>
                </c:pt>
                <c:pt idx="11">
                  <c:v>65598909.182349086</c:v>
                </c:pt>
                <c:pt idx="12">
                  <c:v>67024124.693867266</c:v>
                </c:pt>
                <c:pt idx="13">
                  <c:v>68470456.987545252</c:v>
                </c:pt>
                <c:pt idx="14">
                  <c:v>69938179.105431795</c:v>
                </c:pt>
                <c:pt idx="15">
                  <c:v>71427567.383744538</c:v>
                </c:pt>
                <c:pt idx="16">
                  <c:v>72938901.491006017</c:v>
                </c:pt>
                <c:pt idx="17">
                  <c:v>74472464.466610968</c:v>
                </c:pt>
              </c:numCache>
            </c:numRef>
          </c:val>
          <c:smooth val="0"/>
        </c:ser>
        <c:ser>
          <c:idx val="1"/>
          <c:order val="1"/>
          <c:tx>
            <c:strRef>
              <c:f>'Build.vs.No-Build'!$B$146</c:f>
              <c:strCache>
                <c:ptCount val="1"/>
                <c:pt idx="0">
                  <c:v>Auto.Commute.VMT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'Build.vs.No-Build'!$F$3:$W$3</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'Build.vs.No-Build'!$F$146:$W$146</c:f>
              <c:numCache>
                <c:formatCode>#,##0</c:formatCode>
                <c:ptCount val="18"/>
                <c:pt idx="0">
                  <c:v>28169217.165762067</c:v>
                </c:pt>
                <c:pt idx="1">
                  <c:v>28592509.505792588</c:v>
                </c:pt>
                <c:pt idx="2">
                  <c:v>29017230.200192779</c:v>
                </c:pt>
                <c:pt idx="3">
                  <c:v>29443383.365020901</c:v>
                </c:pt>
                <c:pt idx="4">
                  <c:v>29870973.127749264</c:v>
                </c:pt>
                <c:pt idx="5">
                  <c:v>30300003.627295315</c:v>
                </c:pt>
                <c:pt idx="6">
                  <c:v>30730479.014053375</c:v>
                </c:pt>
                <c:pt idx="7">
                  <c:v>31162403.449925929</c:v>
                </c:pt>
                <c:pt idx="8">
                  <c:v>31595781.108355105</c:v>
                </c:pt>
                <c:pt idx="9">
                  <c:v>32030616.174354613</c:v>
                </c:pt>
                <c:pt idx="10">
                  <c:v>32466912.844541311</c:v>
                </c:pt>
                <c:pt idx="11">
                  <c:v>32904675.327167094</c:v>
                </c:pt>
                <c:pt idx="12">
                  <c:v>33343907.842150807</c:v>
                </c:pt>
                <c:pt idx="13">
                  <c:v>33784614.621109992</c:v>
                </c:pt>
                <c:pt idx="14">
                  <c:v>34226799.907393783</c:v>
                </c:pt>
                <c:pt idx="15">
                  <c:v>34670467.956114084</c:v>
                </c:pt>
                <c:pt idx="16">
                  <c:v>35115623.034178436</c:v>
                </c:pt>
                <c:pt idx="17">
                  <c:v>35562269.420322388</c:v>
                </c:pt>
              </c:numCache>
            </c:numRef>
          </c:val>
          <c:smooth val="0"/>
        </c:ser>
        <c:ser>
          <c:idx val="2"/>
          <c:order val="2"/>
          <c:tx>
            <c:strRef>
              <c:f>'Build.vs.No-Build'!$B$147</c:f>
              <c:strCache>
                <c:ptCount val="1"/>
                <c:pt idx="0">
                  <c:v>Auto.Business.VMT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'Build.vs.No-Build'!$F$3:$W$3</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'Build.vs.No-Build'!$F$147:$W$147</c:f>
              <c:numCache>
                <c:formatCode>#,##0</c:formatCode>
                <c:ptCount val="18"/>
                <c:pt idx="0">
                  <c:v>16874225.846509323</c:v>
                </c:pt>
                <c:pt idx="1">
                  <c:v>17271145.848180085</c:v>
                </c:pt>
                <c:pt idx="2">
                  <c:v>17674022.109234422</c:v>
                </c:pt>
                <c:pt idx="3">
                  <c:v>18082931.648884937</c:v>
                </c:pt>
                <c:pt idx="4">
                  <c:v>18497952.411402181</c:v>
                </c:pt>
                <c:pt idx="5">
                  <c:v>18919163.276754141</c:v>
                </c:pt>
                <c:pt idx="6">
                  <c:v>19346644.07136406</c:v>
                </c:pt>
                <c:pt idx="7">
                  <c:v>19780475.578989133</c:v>
                </c:pt>
                <c:pt idx="8">
                  <c:v>20220739.551720724</c:v>
                </c:pt>
                <c:pt idx="9">
                  <c:v>20667518.721107334</c:v>
                </c:pt>
                <c:pt idx="10">
                  <c:v>21120896.809401765</c:v>
                </c:pt>
                <c:pt idx="11">
                  <c:v>21580958.540934458</c:v>
                </c:pt>
                <c:pt idx="12">
                  <c:v>22047789.653613418</c:v>
                </c:pt>
                <c:pt idx="13">
                  <c:v>22521476.910552531</c:v>
                </c:pt>
                <c:pt idx="14">
                  <c:v>23002108.11183013</c:v>
                </c:pt>
                <c:pt idx="15">
                  <c:v>23489772.106378257</c:v>
                </c:pt>
                <c:pt idx="16">
                  <c:v>23984558.804005235</c:v>
                </c:pt>
                <c:pt idx="17">
                  <c:v>24486559.18755196</c:v>
                </c:pt>
              </c:numCache>
            </c:numRef>
          </c:val>
          <c:smooth val="0"/>
        </c:ser>
        <c:ser>
          <c:idx val="3"/>
          <c:order val="3"/>
          <c:tx>
            <c:strRef>
              <c:f>'Build.vs.No-Build'!$B$148</c:f>
              <c:strCache>
                <c:ptCount val="1"/>
                <c:pt idx="0">
                  <c:v>Truck.VMT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'Build.vs.No-Build'!$F$3:$W$3</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'Build.vs.No-Build'!$F$148:$W$148</c:f>
              <c:numCache>
                <c:formatCode>#,##0</c:formatCode>
                <c:ptCount val="18"/>
                <c:pt idx="0">
                  <c:v>-4195491.3216014355</c:v>
                </c:pt>
                <c:pt idx="1">
                  <c:v>-3533370.8822616115</c:v>
                </c:pt>
                <c:pt idx="2">
                  <c:v>-2851414.4591918364</c:v>
                </c:pt>
                <c:pt idx="3">
                  <c:v>-2149143.8079778105</c:v>
                </c:pt>
                <c:pt idx="4">
                  <c:v>-1426069.7239675596</c:v>
                </c:pt>
                <c:pt idx="5">
                  <c:v>-681691.79457117617</c:v>
                </c:pt>
                <c:pt idx="6">
                  <c:v>84501.854015059769</c:v>
                </c:pt>
                <c:pt idx="7">
                  <c:v>873034.81578569859</c:v>
                </c:pt>
                <c:pt idx="8">
                  <c:v>1684442.6697321311</c:v>
                </c:pt>
                <c:pt idx="9">
                  <c:v>2519273.2506088242</c:v>
                </c:pt>
                <c:pt idx="10">
                  <c:v>3378086.9257939979</c:v>
                </c:pt>
                <c:pt idx="11">
                  <c:v>4261456.8783812448</c:v>
                </c:pt>
                <c:pt idx="12">
                  <c:v>5169969.3966426849</c:v>
                </c:pt>
                <c:pt idx="13">
                  <c:v>6104224.1700065136</c:v>
                </c:pt>
                <c:pt idx="14">
                  <c:v>7064834.5916959047</c:v>
                </c:pt>
                <c:pt idx="15">
                  <c:v>8052428.0681783408</c:v>
                </c:pt>
                <c:pt idx="16">
                  <c:v>9067646.3355790675</c:v>
                </c:pt>
                <c:pt idx="17">
                  <c:v>10111145.783214927</c:v>
                </c:pt>
              </c:numCache>
            </c:numRef>
          </c:val>
          <c:smooth val="0"/>
        </c:ser>
        <c:dLbls>
          <c:showLegendKey val="0"/>
          <c:showVal val="0"/>
          <c:showCatName val="0"/>
          <c:showSerName val="0"/>
          <c:showPercent val="0"/>
          <c:showBubbleSize val="0"/>
        </c:dLbls>
        <c:marker val="1"/>
        <c:smooth val="0"/>
        <c:axId val="163660160"/>
        <c:axId val="163662080"/>
        <c:extLst>
          <c:ext xmlns:c15="http://schemas.microsoft.com/office/drawing/2012/chart" uri="{02D57815-91ED-43cb-92C2-25804820EDAC}">
            <c15:filteredLineSeries>
              <c15:ser>
                <c:idx val="4"/>
                <c:order val="4"/>
                <c:tx>
                  <c:strRef>
                    <c:extLst>
                      <c:ext uri="{02D57815-91ED-43cb-92C2-25804820EDAC}">
                        <c15:formulaRef>
                          <c15:sqref>'Build.vs.No-Build'!$B$149</c15:sqref>
                        </c15:formulaRef>
                      </c:ext>
                    </c:extLst>
                    <c:strCache>
                      <c:ptCount val="1"/>
                      <c:pt idx="0">
                        <c:v>VMT Total</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extLst>
                      <c:ext uri="{02D57815-91ED-43cb-92C2-25804820EDAC}">
                        <c15:formulaRef>
                          <c15:sqref>'Build.vs.No-Build'!$F$3:$W$3</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c:ext uri="{02D57815-91ED-43cb-92C2-25804820EDAC}">
                        <c15:formulaRef>
                          <c15:sqref>'Build.vs.No-Build'!$F$149:$W$149</c15:sqref>
                        </c15:formulaRef>
                      </c:ext>
                    </c:extLst>
                    <c:numCache>
                      <c:formatCode>#,##0</c:formatCode>
                      <c:ptCount val="18"/>
                      <c:pt idx="0">
                        <c:v>92088294.131561756</c:v>
                      </c:pt>
                      <c:pt idx="1">
                        <c:v>94780673.384979129</c:v>
                      </c:pt>
                      <c:pt idx="2">
                        <c:v>97518593.479789972</c:v>
                      </c:pt>
                      <c:pt idx="3">
                        <c:v>100302853.00060236</c:v>
                      </c:pt>
                      <c:pt idx="4">
                        <c:v>103134265.33045244</c:v>
                      </c:pt>
                      <c:pt idx="5">
                        <c:v>106013658.94288576</c:v>
                      </c:pt>
                      <c:pt idx="6">
                        <c:v>108941877.70010936</c:v>
                      </c:pt>
                      <c:pt idx="7">
                        <c:v>111919781.15735674</c:v>
                      </c:pt>
                      <c:pt idx="8">
                        <c:v>114948244.87358534</c:v>
                      </c:pt>
                      <c:pt idx="9">
                        <c:v>118028160.72865796</c:v>
                      </c:pt>
                      <c:pt idx="10">
                        <c:v>121160437.24713528</c:v>
                      </c:pt>
                      <c:pt idx="11">
                        <c:v>124345999.92883205</c:v>
                      </c:pt>
                      <c:pt idx="12">
                        <c:v>127585791.58627415</c:v>
                      </c:pt>
                      <c:pt idx="13">
                        <c:v>130880772.68921435</c:v>
                      </c:pt>
                      <c:pt idx="14">
                        <c:v>134231921.71635151</c:v>
                      </c:pt>
                      <c:pt idx="15">
                        <c:v>137640235.51441526</c:v>
                      </c:pt>
                      <c:pt idx="16">
                        <c:v>141106729.66476858</c:v>
                      </c:pt>
                      <c:pt idx="17">
                        <c:v>144632438.85770023</c:v>
                      </c:pt>
                    </c:numCache>
                  </c:numRef>
                </c:val>
                <c:smooth val="0"/>
              </c15:ser>
            </c15:filteredLineSeries>
          </c:ext>
        </c:extLst>
      </c:lineChart>
      <c:catAx>
        <c:axId val="16366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662080"/>
        <c:crosses val="autoZero"/>
        <c:auto val="1"/>
        <c:lblAlgn val="ctr"/>
        <c:lblOffset val="100"/>
        <c:noMultiLvlLbl val="0"/>
      </c:catAx>
      <c:valAx>
        <c:axId val="163662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660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VHT Changes</a:t>
            </a:r>
          </a:p>
        </c:rich>
      </c:tx>
      <c:overlay val="0"/>
      <c:spPr>
        <a:noFill/>
        <a:ln>
          <a:noFill/>
        </a:ln>
        <a:effectLst/>
      </c:spPr>
    </c:title>
    <c:autoTitleDeleted val="0"/>
    <c:plotArea>
      <c:layout/>
      <c:lineChart>
        <c:grouping val="standard"/>
        <c:varyColors val="0"/>
        <c:ser>
          <c:idx val="0"/>
          <c:order val="0"/>
          <c:tx>
            <c:strRef>
              <c:f>'Build.vs.No-Build'!$B$153</c:f>
              <c:strCache>
                <c:ptCount val="1"/>
                <c:pt idx="0">
                  <c:v>Auto.Leisure.VHT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'Build.vs.No-Build'!$F$3:$W$3</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'Build.vs.No-Build'!$F$153:$W$153</c:f>
              <c:numCache>
                <c:formatCode>#,##0</c:formatCode>
                <c:ptCount val="18"/>
                <c:pt idx="0">
                  <c:v>14733.862838136032</c:v>
                </c:pt>
                <c:pt idx="1">
                  <c:v>-127631.62181678973</c:v>
                </c:pt>
                <c:pt idx="2">
                  <c:v>-279169.111906996</c:v>
                </c:pt>
                <c:pt idx="3">
                  <c:v>-440331.47711537965</c:v>
                </c:pt>
                <c:pt idx="4">
                  <c:v>-611591.88378502801</c:v>
                </c:pt>
                <c:pt idx="5">
                  <c:v>-793444.66431008466</c:v>
                </c:pt>
                <c:pt idx="6">
                  <c:v>-986406.22290092334</c:v>
                </c:pt>
                <c:pt idx="7">
                  <c:v>-1191015.9792260639</c:v>
                </c:pt>
                <c:pt idx="8">
                  <c:v>-1407837.3514948282</c:v>
                </c:pt>
                <c:pt idx="9">
                  <c:v>-1637458.7806088589</c:v>
                </c:pt>
                <c:pt idx="10">
                  <c:v>-1880494.7970774099</c:v>
                </c:pt>
                <c:pt idx="11">
                  <c:v>-2137587.1324606873</c:v>
                </c:pt>
                <c:pt idx="12">
                  <c:v>-2409405.8771779649</c:v>
                </c:pt>
                <c:pt idx="13">
                  <c:v>-2696650.6865922622</c:v>
                </c:pt>
                <c:pt idx="14">
                  <c:v>-3000052.0373619385</c:v>
                </c:pt>
                <c:pt idx="15">
                  <c:v>-3320372.5361308064</c:v>
                </c:pt>
                <c:pt idx="16">
                  <c:v>-3658408.2827134766</c:v>
                </c:pt>
                <c:pt idx="17">
                  <c:v>-4014990.2900207415</c:v>
                </c:pt>
              </c:numCache>
            </c:numRef>
          </c:val>
          <c:smooth val="0"/>
        </c:ser>
        <c:ser>
          <c:idx val="1"/>
          <c:order val="1"/>
          <c:tx>
            <c:strRef>
              <c:f>'Build.vs.No-Build'!$B$154</c:f>
              <c:strCache>
                <c:ptCount val="1"/>
                <c:pt idx="0">
                  <c:v>Auto.Commute.VHT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'Build.vs.No-Build'!$F$3:$W$3</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'Build.vs.No-Build'!$F$154:$W$154</c:f>
              <c:numCache>
                <c:formatCode>#,##0</c:formatCode>
                <c:ptCount val="18"/>
                <c:pt idx="0">
                  <c:v>10137.694319739006</c:v>
                </c:pt>
                <c:pt idx="1">
                  <c:v>-66579.889801890589</c:v>
                </c:pt>
                <c:pt idx="2">
                  <c:v>-147034.89057881664</c:v>
                </c:pt>
                <c:pt idx="3">
                  <c:v>-231369.13122295681</c:v>
                </c:pt>
                <c:pt idx="4">
                  <c:v>-319729.38597418088</c:v>
                </c:pt>
                <c:pt idx="5">
                  <c:v>-412267.54702288285</c:v>
                </c:pt>
                <c:pt idx="6">
                  <c:v>-509140.7969719246</c:v>
                </c:pt>
                <c:pt idx="7">
                  <c:v>-610511.78702044021</c:v>
                </c:pt>
                <c:pt idx="8">
                  <c:v>-716548.82105794176</c:v>
                </c:pt>
                <c:pt idx="9">
                  <c:v>-827426.04586334433</c:v>
                </c:pt>
                <c:pt idx="10">
                  <c:v>-943323.64760995936</c:v>
                </c:pt>
                <c:pt idx="11">
                  <c:v>-1064428.0548840491</c:v>
                </c:pt>
                <c:pt idx="12">
                  <c:v>-1190932.1484313905</c:v>
                </c:pt>
                <c:pt idx="13">
                  <c:v>-1323035.4778532991</c:v>
                </c:pt>
                <c:pt idx="14">
                  <c:v>-1460944.4854808701</c:v>
                </c:pt>
                <c:pt idx="15">
                  <c:v>-1604872.7376636323</c:v>
                </c:pt>
                <c:pt idx="16">
                  <c:v>-1755041.1637166664</c:v>
                </c:pt>
                <c:pt idx="17">
                  <c:v>-1911678.3027781146</c:v>
                </c:pt>
              </c:numCache>
            </c:numRef>
          </c:val>
          <c:smooth val="0"/>
        </c:ser>
        <c:ser>
          <c:idx val="2"/>
          <c:order val="2"/>
          <c:tx>
            <c:strRef>
              <c:f>'Build.vs.No-Build'!$B$155</c:f>
              <c:strCache>
                <c:ptCount val="1"/>
                <c:pt idx="0">
                  <c:v>Auto.Business.VHT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'Build.vs.No-Build'!$F$3:$W$3</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'Build.vs.No-Build'!$F$155:$W$155</c:f>
              <c:numCache>
                <c:formatCode>#,##0</c:formatCode>
                <c:ptCount val="18"/>
                <c:pt idx="0">
                  <c:v>4904.3695540069602</c:v>
                </c:pt>
                <c:pt idx="1">
                  <c:v>-41945.117717082147</c:v>
                </c:pt>
                <c:pt idx="2">
                  <c:v>-91803.430027747527</c:v>
                </c:pt>
                <c:pt idx="3">
                  <c:v>-144818.68056783453</c:v>
                </c:pt>
                <c:pt idx="4">
                  <c:v>-201145.60139224026</c:v>
                </c:pt>
                <c:pt idx="5">
                  <c:v>-260945.82613979839</c:v>
                </c:pt>
                <c:pt idx="6">
                  <c:v>-324388.18454855308</c:v>
                </c:pt>
                <c:pt idx="7">
                  <c:v>-391649.00925337477</c:v>
                </c:pt>
                <c:pt idx="8">
                  <c:v>-462912.45537170488</c:v>
                </c:pt>
                <c:pt idx="9">
                  <c:v>-538370.8334039445</c:v>
                </c:pt>
                <c:pt idx="10">
                  <c:v>-618224.95599650126</c:v>
                </c:pt>
                <c:pt idx="11">
                  <c:v>-702684.49913791893</c:v>
                </c:pt>
                <c:pt idx="12">
                  <c:v>-791968.37838181946</c:v>
                </c:pt>
                <c:pt idx="13">
                  <c:v>-886305.14071467379</c:v>
                </c:pt>
                <c:pt idx="14">
                  <c:v>-985933.37271164497</c:v>
                </c:pt>
                <c:pt idx="15">
                  <c:v>-1091102.1256500338</c:v>
                </c:pt>
                <c:pt idx="16">
                  <c:v>-1202071.3582772282</c:v>
                </c:pt>
                <c:pt idx="17">
                  <c:v>-1319112.3979584635</c:v>
                </c:pt>
              </c:numCache>
            </c:numRef>
          </c:val>
          <c:smooth val="0"/>
        </c:ser>
        <c:ser>
          <c:idx val="3"/>
          <c:order val="3"/>
          <c:tx>
            <c:strRef>
              <c:f>'Build.vs.No-Build'!$B$156</c:f>
              <c:strCache>
                <c:ptCount val="1"/>
                <c:pt idx="0">
                  <c:v>Truck.VHT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'Build.vs.No-Build'!$F$3:$W$3</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'Build.vs.No-Build'!$F$156:$W$156</c:f>
              <c:numCache>
                <c:formatCode>#,##0</c:formatCode>
                <c:ptCount val="18"/>
                <c:pt idx="0">
                  <c:v>-266359.14996458811</c:v>
                </c:pt>
                <c:pt idx="1">
                  <c:v>-283759.39367492602</c:v>
                </c:pt>
                <c:pt idx="2">
                  <c:v>-302080.17668184976</c:v>
                </c:pt>
                <c:pt idx="3">
                  <c:v>-321365.80036678398</c:v>
                </c:pt>
                <c:pt idx="4">
                  <c:v>-341662.5876058538</c:v>
                </c:pt>
                <c:pt idx="5">
                  <c:v>-363018.97195855202</c:v>
                </c:pt>
                <c:pt idx="6">
                  <c:v>-385485.59070247691</c:v>
                </c:pt>
                <c:pt idx="7">
                  <c:v>-409115.38187730848</c:v>
                </c:pt>
                <c:pt idx="8">
                  <c:v>-433963.68550804886</c:v>
                </c:pt>
                <c:pt idx="9">
                  <c:v>-460088.34918464511</c:v>
                </c:pt>
                <c:pt idx="10">
                  <c:v>-487549.83818257484</c:v>
                </c:pt>
                <c:pt idx="11">
                  <c:v>-516411.35031666118</c:v>
                </c:pt>
                <c:pt idx="12">
                  <c:v>-546738.93572846893</c:v>
                </c:pt>
                <c:pt idx="13">
                  <c:v>-578601.62181598344</c:v>
                </c:pt>
                <c:pt idx="14">
                  <c:v>-612071.54352304013</c:v>
                </c:pt>
                <c:pt idx="15">
                  <c:v>-647224.07921502786</c:v>
                </c:pt>
                <c:pt idx="16">
                  <c:v>-684137.99237689609</c:v>
                </c:pt>
                <c:pt idx="17">
                  <c:v>-722895.57937932201</c:v>
                </c:pt>
              </c:numCache>
            </c:numRef>
          </c:val>
          <c:smooth val="0"/>
        </c:ser>
        <c:dLbls>
          <c:showLegendKey val="0"/>
          <c:showVal val="0"/>
          <c:showCatName val="0"/>
          <c:showSerName val="0"/>
          <c:showPercent val="0"/>
          <c:showBubbleSize val="0"/>
        </c:dLbls>
        <c:marker val="1"/>
        <c:smooth val="0"/>
        <c:axId val="163697024"/>
        <c:axId val="163698944"/>
        <c:extLst>
          <c:ext xmlns:c15="http://schemas.microsoft.com/office/drawing/2012/chart" uri="{02D57815-91ED-43cb-92C2-25804820EDAC}">
            <c15:filteredLineSeries>
              <c15:ser>
                <c:idx val="4"/>
                <c:order val="4"/>
                <c:tx>
                  <c:strRef>
                    <c:extLst>
                      <c:ext uri="{02D57815-91ED-43cb-92C2-25804820EDAC}">
                        <c15:formulaRef>
                          <c15:sqref>'Build.vs.No-Build'!$B$157</c15:sqref>
                        </c15:formulaRef>
                      </c:ext>
                    </c:extLst>
                    <c:strCache>
                      <c:ptCount val="1"/>
                      <c:pt idx="0">
                        <c:v>VHT Total</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extLst>
                      <c:ext uri="{02D57815-91ED-43cb-92C2-25804820EDAC}">
                        <c15:formulaRef>
                          <c15:sqref>'Build.vs.No-Build'!$F$3:$W$3</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c:ext uri="{02D57815-91ED-43cb-92C2-25804820EDAC}">
                        <c15:formulaRef>
                          <c15:sqref>'Build.vs.No-Build'!$F$157:$W$157</c15:sqref>
                        </c15:formulaRef>
                      </c:ext>
                    </c:extLst>
                    <c:numCache>
                      <c:formatCode>#,##0</c:formatCode>
                      <c:ptCount val="18"/>
                      <c:pt idx="0">
                        <c:v>-236583.22325270623</c:v>
                      </c:pt>
                      <c:pt idx="1">
                        <c:v>-519916.02301069349</c:v>
                      </c:pt>
                      <c:pt idx="2">
                        <c:v>-820087.60919541493</c:v>
                      </c:pt>
                      <c:pt idx="3">
                        <c:v>-1137885.0892729498</c:v>
                      </c:pt>
                      <c:pt idx="4">
                        <c:v>-1474129.4587572999</c:v>
                      </c:pt>
                      <c:pt idx="5">
                        <c:v>-1829677.0094313174</c:v>
                      </c:pt>
                      <c:pt idx="6">
                        <c:v>-2205420.7951238789</c:v>
                      </c:pt>
                      <c:pt idx="7">
                        <c:v>-2602292.1573771909</c:v>
                      </c:pt>
                      <c:pt idx="8">
                        <c:v>-3021262.3134325258</c:v>
                      </c:pt>
                      <c:pt idx="9">
                        <c:v>-3463344.0090607964</c:v>
                      </c:pt>
                      <c:pt idx="10">
                        <c:v>-3929593.2388664447</c:v>
                      </c:pt>
                      <c:pt idx="11">
                        <c:v>-4421111.0367993191</c:v>
                      </c:pt>
                      <c:pt idx="12">
                        <c:v>-4939045.339719642</c:v>
                      </c:pt>
                      <c:pt idx="13">
                        <c:v>-5484592.9269762188</c:v>
                      </c:pt>
                      <c:pt idx="14">
                        <c:v>-6059001.4390774965</c:v>
                      </c:pt>
                      <c:pt idx="15">
                        <c:v>-6663571.4786594994</c:v>
                      </c:pt>
                      <c:pt idx="16">
                        <c:v>-7299658.7970842682</c:v>
                      </c:pt>
                      <c:pt idx="17">
                        <c:v>-7968676.5701366365</c:v>
                      </c:pt>
                    </c:numCache>
                  </c:numRef>
                </c:val>
                <c:smooth val="0"/>
              </c15:ser>
            </c15:filteredLineSeries>
          </c:ext>
        </c:extLst>
      </c:lineChart>
      <c:catAx>
        <c:axId val="16369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698944"/>
        <c:crosses val="autoZero"/>
        <c:auto val="1"/>
        <c:lblAlgn val="ctr"/>
        <c:lblOffset val="100"/>
        <c:noMultiLvlLbl val="0"/>
      </c:catAx>
      <c:valAx>
        <c:axId val="163698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697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VHT</a:t>
            </a:r>
          </a:p>
        </c:rich>
      </c:tx>
      <c:layout/>
      <c:overlay val="0"/>
      <c:spPr>
        <a:noFill/>
        <a:ln>
          <a:noFill/>
        </a:ln>
        <a:effectLst/>
      </c:spPr>
    </c:title>
    <c:autoTitleDeleted val="0"/>
    <c:plotArea>
      <c:layout/>
      <c:lineChart>
        <c:grouping val="standard"/>
        <c:varyColors val="0"/>
        <c:ser>
          <c:idx val="0"/>
          <c:order val="0"/>
          <c:tx>
            <c:strRef>
              <c:f>'Build.vs.No-Build'!$B$12</c:f>
              <c:strCache>
                <c:ptCount val="1"/>
                <c:pt idx="0">
                  <c:v>Auto.Leisure.VHT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'Build.vs.No-Build'!$F$3:$W$3</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'Build.vs.No-Build'!$F$12:$W$12</c:f>
              <c:numCache>
                <c:formatCode>#,##0</c:formatCode>
                <c:ptCount val="18"/>
                <c:pt idx="0">
                  <c:v>8454311.3437231276</c:v>
                </c:pt>
                <c:pt idx="1">
                  <c:v>8797585.2005785722</c:v>
                </c:pt>
                <c:pt idx="2">
                  <c:v>9154797.1460623574</c:v>
                </c:pt>
                <c:pt idx="3">
                  <c:v>9526513.1140804105</c:v>
                </c:pt>
                <c:pt idx="4">
                  <c:v>9913322.0173842013</c:v>
                </c:pt>
                <c:pt idx="5">
                  <c:v>10315836.680590212</c:v>
                </c:pt>
                <c:pt idx="6">
                  <c:v>10734694.811083145</c:v>
                </c:pt>
                <c:pt idx="7">
                  <c:v>11170560.009341132</c:v>
                </c:pt>
                <c:pt idx="8">
                  <c:v>11624122.820283584</c:v>
                </c:pt>
                <c:pt idx="9">
                  <c:v>12096101.827307342</c:v>
                </c:pt>
                <c:pt idx="10">
                  <c:v>12587244.790744431</c:v>
                </c:pt>
                <c:pt idx="11">
                  <c:v>13098329.832545079</c:v>
                </c:pt>
                <c:pt idx="12">
                  <c:v>13630166.669062907</c:v>
                </c:pt>
                <c:pt idx="13">
                  <c:v>14183597.893895378</c:v>
                </c:pt>
                <c:pt idx="14">
                  <c:v>14759500.312811982</c:v>
                </c:pt>
                <c:pt idx="15">
                  <c:v>15358786.33288501</c:v>
                </c:pt>
                <c:pt idx="16">
                  <c:v>15982405.408023814</c:v>
                </c:pt>
                <c:pt idx="17">
                  <c:v>16631345.54320265</c:v>
                </c:pt>
              </c:numCache>
            </c:numRef>
          </c:val>
          <c:smooth val="0"/>
        </c:ser>
        <c:ser>
          <c:idx val="1"/>
          <c:order val="1"/>
          <c:tx>
            <c:strRef>
              <c:f>'Build.vs.No-Build'!$B$13</c:f>
              <c:strCache>
                <c:ptCount val="1"/>
                <c:pt idx="0">
                  <c:v>Auto.Commute.VHT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'Build.vs.No-Build'!$F$3:$W$3</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'Build.vs.No-Build'!$F$13:$W$13</c:f>
              <c:numCache>
                <c:formatCode>#,##0</c:formatCode>
                <c:ptCount val="18"/>
                <c:pt idx="0">
                  <c:v>4583222.1375105102</c:v>
                </c:pt>
                <c:pt idx="1">
                  <c:v>4733143.2525839452</c:v>
                </c:pt>
                <c:pt idx="2">
                  <c:v>4887968.4155238168</c:v>
                </c:pt>
                <c:pt idx="3">
                  <c:v>5047858.0419291193</c:v>
                </c:pt>
                <c:pt idx="4">
                  <c:v>5212977.7947302526</c:v>
                </c:pt>
                <c:pt idx="5">
                  <c:v>5383498.7558337282</c:v>
                </c:pt>
                <c:pt idx="6">
                  <c:v>5559597.6033815024</c:v>
                </c:pt>
                <c:pt idx="7">
                  <c:v>5741456.7948086252</c:v>
                </c:pt>
                <c:pt idx="8">
                  <c:v>5929264.7558888635</c:v>
                </c:pt>
                <c:pt idx="9">
                  <c:v>6123216.0759641584</c:v>
                </c:pt>
                <c:pt idx="10">
                  <c:v>6323511.7095602127</c:v>
                </c:pt>
                <c:pt idx="11">
                  <c:v>6530359.1845970955</c:v>
                </c:pt>
                <c:pt idx="12">
                  <c:v>6743972.8174105892</c:v>
                </c:pt>
                <c:pt idx="13">
                  <c:v>6964573.9348070761</c:v>
                </c:pt>
                <c:pt idx="14">
                  <c:v>7192391.103382024</c:v>
                </c:pt>
                <c:pt idx="15">
                  <c:v>7427660.3663396742</c:v>
                </c:pt>
                <c:pt idx="16">
                  <c:v>7670625.4880593168</c:v>
                </c:pt>
                <c:pt idx="17">
                  <c:v>7921538.2066615205</c:v>
                </c:pt>
              </c:numCache>
            </c:numRef>
          </c:val>
          <c:smooth val="0"/>
        </c:ser>
        <c:ser>
          <c:idx val="2"/>
          <c:order val="2"/>
          <c:tx>
            <c:strRef>
              <c:f>'Build.vs.No-Build'!$B$14</c:f>
              <c:strCache>
                <c:ptCount val="1"/>
                <c:pt idx="0">
                  <c:v>Auto.Business.VHT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'Build.vs.No-Build'!$F$3:$W$3</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'Build.vs.No-Build'!$F$14:$W$14</c:f>
              <c:numCache>
                <c:formatCode>#,##0</c:formatCode>
                <c:ptCount val="18"/>
                <c:pt idx="0">
                  <c:v>2782560.6125391289</c:v>
                </c:pt>
                <c:pt idx="1">
                  <c:v>2895256.4460825352</c:v>
                </c:pt>
                <c:pt idx="2">
                  <c:v>3012516.5470998683</c:v>
                </c:pt>
                <c:pt idx="3">
                  <c:v>3134525.7719156127</c:v>
                </c:pt>
                <c:pt idx="4">
                  <c:v>3261476.4636768154</c:v>
                </c:pt>
                <c:pt idx="5">
                  <c:v>3393568.755575126</c:v>
                </c:pt>
                <c:pt idx="6">
                  <c:v>3531010.8863495621</c:v>
                </c:pt>
                <c:pt idx="7">
                  <c:v>3674019.5285673812</c:v>
                </c:pt>
                <c:pt idx="8">
                  <c:v>3822820.1302005765</c:v>
                </c:pt>
                <c:pt idx="9">
                  <c:v>3977647.2700364771</c:v>
                </c:pt>
                <c:pt idx="10">
                  <c:v>4138745.027482762</c:v>
                </c:pt>
                <c:pt idx="11">
                  <c:v>4306367.3673498463</c:v>
                </c:pt>
                <c:pt idx="12">
                  <c:v>4480778.540217259</c:v>
                </c:pt>
                <c:pt idx="13">
                  <c:v>4662253.4990151562</c:v>
                </c:pt>
                <c:pt idx="14">
                  <c:v>4851078.3324777139</c:v>
                </c:pt>
                <c:pt idx="15">
                  <c:v>5047550.7161517069</c:v>
                </c:pt>
                <c:pt idx="16">
                  <c:v>5251980.381671289</c:v>
                </c:pt>
                <c:pt idx="17">
                  <c:v>5464689.6050387416</c:v>
                </c:pt>
              </c:numCache>
            </c:numRef>
          </c:val>
          <c:smooth val="0"/>
        </c:ser>
        <c:ser>
          <c:idx val="3"/>
          <c:order val="3"/>
          <c:tx>
            <c:strRef>
              <c:f>'Build.vs.No-Build'!$B$15</c:f>
              <c:strCache>
                <c:ptCount val="1"/>
                <c:pt idx="0">
                  <c:v>Truck.VHT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'Build.vs.No-Build'!$F$3:$W$3</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'Build.vs.No-Build'!$F$15:$W$15</c:f>
              <c:numCache>
                <c:formatCode>#,##0</c:formatCode>
                <c:ptCount val="18"/>
                <c:pt idx="0">
                  <c:v>1229752.7639351764</c:v>
                </c:pt>
                <c:pt idx="1">
                  <c:v>1279081.0264611747</c:v>
                </c:pt>
                <c:pt idx="2">
                  <c:v>1330387.9610871221</c:v>
                </c:pt>
                <c:pt idx="3">
                  <c:v>1383752.936983523</c:v>
                </c:pt>
                <c:pt idx="4">
                  <c:v>1439258.5070041344</c:v>
                </c:pt>
                <c:pt idx="5">
                  <c:v>1496990.5353909545</c:v>
                </c:pt>
                <c:pt idx="6">
                  <c:v>1557038.3306017588</c:v>
                </c:pt>
                <c:pt idx="7">
                  <c:v>1619494.7834656565</c:v>
                </c:pt>
                <c:pt idx="8">
                  <c:v>1684456.5108803955</c:v>
                </c:pt>
                <c:pt idx="9">
                  <c:v>1752024.0052736956</c:v>
                </c:pt>
                <c:pt idx="10">
                  <c:v>1822301.7900598312</c:v>
                </c:pt>
                <c:pt idx="11">
                  <c:v>1895398.5813319392</c:v>
                </c:pt>
                <c:pt idx="12">
                  <c:v>1971427.4560401854</c:v>
                </c:pt>
                <c:pt idx="13">
                  <c:v>2050506.0269159463</c:v>
                </c:pt>
                <c:pt idx="14">
                  <c:v>2132756.6244126181</c:v>
                </c:pt>
                <c:pt idx="15">
                  <c:v>2218306.4859444867</c:v>
                </c:pt>
                <c:pt idx="16">
                  <c:v>2307287.9527164232</c:v>
                </c:pt>
                <c:pt idx="17">
                  <c:v>2399838.6744488673</c:v>
                </c:pt>
              </c:numCache>
            </c:numRef>
          </c:val>
          <c:smooth val="0"/>
        </c:ser>
        <c:dLbls>
          <c:showLegendKey val="0"/>
          <c:showVal val="0"/>
          <c:showCatName val="0"/>
          <c:showSerName val="0"/>
          <c:showPercent val="0"/>
          <c:showBubbleSize val="0"/>
        </c:dLbls>
        <c:marker val="1"/>
        <c:smooth val="0"/>
        <c:axId val="163820288"/>
        <c:axId val="163822208"/>
        <c:extLst/>
      </c:lineChart>
      <c:catAx>
        <c:axId val="16382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822208"/>
        <c:crosses val="autoZero"/>
        <c:auto val="1"/>
        <c:lblAlgn val="ctr"/>
        <c:lblOffset val="100"/>
        <c:noMultiLvlLbl val="0"/>
      </c:catAx>
      <c:valAx>
        <c:axId val="163822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8202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Fuel Consumption Rates (gal/veh-mi)</a:t>
            </a:r>
          </a:p>
        </c:rich>
      </c:tx>
      <c:layout/>
      <c:overlay val="0"/>
      <c:spPr>
        <a:noFill/>
        <a:ln>
          <a:noFill/>
        </a:ln>
        <a:effectLst/>
      </c:spPr>
    </c:title>
    <c:autoTitleDeleted val="0"/>
    <c:plotArea>
      <c:layout/>
      <c:lineChart>
        <c:grouping val="standard"/>
        <c:varyColors val="0"/>
        <c:ser>
          <c:idx val="0"/>
          <c:order val="0"/>
          <c:tx>
            <c:strRef>
              <c:f>Fuel.Use.Rate!$D$12</c:f>
              <c:strCache>
                <c:ptCount val="1"/>
                <c:pt idx="0">
                  <c:v>Auto*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Fuel.Use.Rate!$C$13:$C$87</c:f>
              <c:numCache>
                <c:formatCode>General</c:formatCode>
                <c:ptCount val="75"/>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24</c:v>
                </c:pt>
                <c:pt idx="20">
                  <c:v>25</c:v>
                </c:pt>
                <c:pt idx="21">
                  <c:v>26</c:v>
                </c:pt>
                <c:pt idx="22">
                  <c:v>27</c:v>
                </c:pt>
                <c:pt idx="23">
                  <c:v>28</c:v>
                </c:pt>
                <c:pt idx="24">
                  <c:v>29</c:v>
                </c:pt>
                <c:pt idx="25">
                  <c:v>30</c:v>
                </c:pt>
                <c:pt idx="26">
                  <c:v>31</c:v>
                </c:pt>
                <c:pt idx="27">
                  <c:v>32</c:v>
                </c:pt>
                <c:pt idx="28">
                  <c:v>33</c:v>
                </c:pt>
                <c:pt idx="29">
                  <c:v>34</c:v>
                </c:pt>
                <c:pt idx="30">
                  <c:v>35</c:v>
                </c:pt>
                <c:pt idx="31">
                  <c:v>36</c:v>
                </c:pt>
                <c:pt idx="32">
                  <c:v>37</c:v>
                </c:pt>
                <c:pt idx="33">
                  <c:v>38</c:v>
                </c:pt>
                <c:pt idx="34">
                  <c:v>39</c:v>
                </c:pt>
                <c:pt idx="35">
                  <c:v>40</c:v>
                </c:pt>
                <c:pt idx="36">
                  <c:v>41</c:v>
                </c:pt>
                <c:pt idx="37">
                  <c:v>42</c:v>
                </c:pt>
                <c:pt idx="38">
                  <c:v>43</c:v>
                </c:pt>
                <c:pt idx="39">
                  <c:v>44</c:v>
                </c:pt>
                <c:pt idx="40">
                  <c:v>45</c:v>
                </c:pt>
                <c:pt idx="41">
                  <c:v>46</c:v>
                </c:pt>
                <c:pt idx="42">
                  <c:v>47</c:v>
                </c:pt>
                <c:pt idx="43">
                  <c:v>48</c:v>
                </c:pt>
                <c:pt idx="44">
                  <c:v>49</c:v>
                </c:pt>
                <c:pt idx="45">
                  <c:v>50</c:v>
                </c:pt>
                <c:pt idx="46">
                  <c:v>51</c:v>
                </c:pt>
                <c:pt idx="47">
                  <c:v>52</c:v>
                </c:pt>
                <c:pt idx="48">
                  <c:v>53</c:v>
                </c:pt>
                <c:pt idx="49">
                  <c:v>54</c:v>
                </c:pt>
                <c:pt idx="50">
                  <c:v>55</c:v>
                </c:pt>
                <c:pt idx="51">
                  <c:v>56</c:v>
                </c:pt>
                <c:pt idx="52">
                  <c:v>57</c:v>
                </c:pt>
                <c:pt idx="53">
                  <c:v>58</c:v>
                </c:pt>
                <c:pt idx="54">
                  <c:v>59</c:v>
                </c:pt>
                <c:pt idx="55">
                  <c:v>60</c:v>
                </c:pt>
                <c:pt idx="56">
                  <c:v>61</c:v>
                </c:pt>
                <c:pt idx="57">
                  <c:v>62</c:v>
                </c:pt>
                <c:pt idx="58">
                  <c:v>63</c:v>
                </c:pt>
                <c:pt idx="59">
                  <c:v>64</c:v>
                </c:pt>
                <c:pt idx="60">
                  <c:v>65</c:v>
                </c:pt>
                <c:pt idx="61">
                  <c:v>66</c:v>
                </c:pt>
                <c:pt idx="62">
                  <c:v>67</c:v>
                </c:pt>
                <c:pt idx="63">
                  <c:v>68</c:v>
                </c:pt>
                <c:pt idx="64">
                  <c:v>69</c:v>
                </c:pt>
                <c:pt idx="65">
                  <c:v>70</c:v>
                </c:pt>
                <c:pt idx="66">
                  <c:v>71</c:v>
                </c:pt>
                <c:pt idx="67">
                  <c:v>72</c:v>
                </c:pt>
                <c:pt idx="68">
                  <c:v>73</c:v>
                </c:pt>
                <c:pt idx="69">
                  <c:v>74</c:v>
                </c:pt>
                <c:pt idx="70">
                  <c:v>75</c:v>
                </c:pt>
                <c:pt idx="71">
                  <c:v>76</c:v>
                </c:pt>
                <c:pt idx="72">
                  <c:v>77</c:v>
                </c:pt>
                <c:pt idx="73">
                  <c:v>78</c:v>
                </c:pt>
                <c:pt idx="74">
                  <c:v>79</c:v>
                </c:pt>
              </c:numCache>
            </c:numRef>
          </c:cat>
          <c:val>
            <c:numRef>
              <c:f>Fuel.Use.Rate!$D$13:$D$88</c:f>
              <c:numCache>
                <c:formatCode>0.0000</c:formatCode>
                <c:ptCount val="76"/>
                <c:pt idx="0">
                  <c:v>0.1439</c:v>
                </c:pt>
                <c:pt idx="1">
                  <c:v>0.1366</c:v>
                </c:pt>
                <c:pt idx="2">
                  <c:v>0.1293</c:v>
                </c:pt>
                <c:pt idx="3">
                  <c:v>0.122</c:v>
                </c:pt>
                <c:pt idx="4">
                  <c:v>0.1147</c:v>
                </c:pt>
                <c:pt idx="5">
                  <c:v>0.1074</c:v>
                </c:pt>
                <c:pt idx="6">
                  <c:v>0.10249999999999999</c:v>
                </c:pt>
                <c:pt idx="7">
                  <c:v>9.7699999999999995E-2</c:v>
                </c:pt>
                <c:pt idx="8">
                  <c:v>9.2899999999999996E-2</c:v>
                </c:pt>
                <c:pt idx="9">
                  <c:v>8.7999999999999995E-2</c:v>
                </c:pt>
                <c:pt idx="10">
                  <c:v>8.3199999999999996E-2</c:v>
                </c:pt>
                <c:pt idx="11">
                  <c:v>0.08</c:v>
                </c:pt>
                <c:pt idx="12">
                  <c:v>7.6700000000000004E-2</c:v>
                </c:pt>
                <c:pt idx="13">
                  <c:v>7.3499999999999996E-2</c:v>
                </c:pt>
                <c:pt idx="14">
                  <c:v>7.0199999999999999E-2</c:v>
                </c:pt>
                <c:pt idx="15">
                  <c:v>6.7000000000000004E-2</c:v>
                </c:pt>
                <c:pt idx="16">
                  <c:v>6.4799999999999996E-2</c:v>
                </c:pt>
                <c:pt idx="17">
                  <c:v>6.2600000000000003E-2</c:v>
                </c:pt>
                <c:pt idx="18">
                  <c:v>6.0299999999999999E-2</c:v>
                </c:pt>
                <c:pt idx="19">
                  <c:v>5.8099999999999999E-2</c:v>
                </c:pt>
                <c:pt idx="20">
                  <c:v>5.5899999999999998E-2</c:v>
                </c:pt>
                <c:pt idx="21">
                  <c:v>5.4399999999999997E-2</c:v>
                </c:pt>
                <c:pt idx="22">
                  <c:v>5.2900000000000003E-2</c:v>
                </c:pt>
                <c:pt idx="23">
                  <c:v>5.1499999999999997E-2</c:v>
                </c:pt>
                <c:pt idx="24">
                  <c:v>0.05</c:v>
                </c:pt>
                <c:pt idx="25">
                  <c:v>4.8500000000000001E-2</c:v>
                </c:pt>
                <c:pt idx="26">
                  <c:v>4.7500000000000001E-2</c:v>
                </c:pt>
                <c:pt idx="27">
                  <c:v>4.65E-2</c:v>
                </c:pt>
                <c:pt idx="28">
                  <c:v>4.5499999999999999E-2</c:v>
                </c:pt>
                <c:pt idx="29">
                  <c:v>4.4499999999999998E-2</c:v>
                </c:pt>
                <c:pt idx="30">
                  <c:v>4.3499999999999997E-2</c:v>
                </c:pt>
                <c:pt idx="31">
                  <c:v>4.2900000000000001E-2</c:v>
                </c:pt>
                <c:pt idx="32">
                  <c:v>4.2299999999999997E-2</c:v>
                </c:pt>
                <c:pt idx="33">
                  <c:v>4.1700000000000001E-2</c:v>
                </c:pt>
                <c:pt idx="34">
                  <c:v>4.1099999999999998E-2</c:v>
                </c:pt>
                <c:pt idx="35">
                  <c:v>4.0500000000000001E-2</c:v>
                </c:pt>
                <c:pt idx="36">
                  <c:v>4.02E-2</c:v>
                </c:pt>
                <c:pt idx="37">
                  <c:v>0.04</c:v>
                </c:pt>
                <c:pt idx="38">
                  <c:v>3.9699999999999999E-2</c:v>
                </c:pt>
                <c:pt idx="39">
                  <c:v>3.9399999999999998E-2</c:v>
                </c:pt>
                <c:pt idx="40">
                  <c:v>3.9100000000000003E-2</c:v>
                </c:pt>
                <c:pt idx="41">
                  <c:v>3.9100000000000003E-2</c:v>
                </c:pt>
                <c:pt idx="42">
                  <c:v>3.9100000000000003E-2</c:v>
                </c:pt>
                <c:pt idx="43">
                  <c:v>3.9100000000000003E-2</c:v>
                </c:pt>
                <c:pt idx="44">
                  <c:v>3.9100000000000003E-2</c:v>
                </c:pt>
                <c:pt idx="45">
                  <c:v>3.9E-2</c:v>
                </c:pt>
                <c:pt idx="46">
                  <c:v>3.9300000000000002E-2</c:v>
                </c:pt>
                <c:pt idx="47">
                  <c:v>3.9600000000000003E-2</c:v>
                </c:pt>
                <c:pt idx="48">
                  <c:v>3.9899999999999998E-2</c:v>
                </c:pt>
                <c:pt idx="49">
                  <c:v>4.0099999999999997E-2</c:v>
                </c:pt>
                <c:pt idx="50">
                  <c:v>4.0399999999999998E-2</c:v>
                </c:pt>
                <c:pt idx="51">
                  <c:v>4.1000000000000002E-2</c:v>
                </c:pt>
                <c:pt idx="52">
                  <c:v>4.1599999999999998E-2</c:v>
                </c:pt>
                <c:pt idx="53">
                  <c:v>4.2200000000000001E-2</c:v>
                </c:pt>
                <c:pt idx="54">
                  <c:v>4.2799999999999998E-2</c:v>
                </c:pt>
                <c:pt idx="55">
                  <c:v>4.3299999999999998E-2</c:v>
                </c:pt>
                <c:pt idx="56">
                  <c:v>4.4299999999999999E-2</c:v>
                </c:pt>
                <c:pt idx="57">
                  <c:v>4.53E-2</c:v>
                </c:pt>
                <c:pt idx="58">
                  <c:v>4.6199999999999998E-2</c:v>
                </c:pt>
                <c:pt idx="59">
                  <c:v>4.7199999999999999E-2</c:v>
                </c:pt>
                <c:pt idx="60">
                  <c:v>4.82E-2</c:v>
                </c:pt>
                <c:pt idx="61">
                  <c:v>4.8800000000000003E-2</c:v>
                </c:pt>
                <c:pt idx="62">
                  <c:v>4.9500000000000002E-2</c:v>
                </c:pt>
                <c:pt idx="63">
                  <c:v>5.0200000000000002E-2</c:v>
                </c:pt>
                <c:pt idx="64">
                  <c:v>5.0900000000000001E-2</c:v>
                </c:pt>
                <c:pt idx="65">
                  <c:v>5.1499999999999997E-2</c:v>
                </c:pt>
                <c:pt idx="66">
                  <c:v>5.16E-2</c:v>
                </c:pt>
                <c:pt idx="67">
                  <c:v>5.16E-2</c:v>
                </c:pt>
                <c:pt idx="68">
                  <c:v>5.16E-2</c:v>
                </c:pt>
                <c:pt idx="69">
                  <c:v>5.1700000000000003E-2</c:v>
                </c:pt>
                <c:pt idx="70">
                  <c:v>5.1700000000000003E-2</c:v>
                </c:pt>
                <c:pt idx="71">
                  <c:v>5.1799999999999999E-2</c:v>
                </c:pt>
                <c:pt idx="72">
                  <c:v>5.1799999999999999E-2</c:v>
                </c:pt>
                <c:pt idx="73">
                  <c:v>5.1900000000000002E-2</c:v>
                </c:pt>
                <c:pt idx="74">
                  <c:v>5.1900000000000002E-2</c:v>
                </c:pt>
                <c:pt idx="75">
                  <c:v>5.1999999999999998E-2</c:v>
                </c:pt>
              </c:numCache>
            </c:numRef>
          </c:val>
          <c:smooth val="0"/>
        </c:ser>
        <c:ser>
          <c:idx val="1"/>
          <c:order val="1"/>
          <c:tx>
            <c:strRef>
              <c:f>Fuel.Use.Rate!$E$12</c:f>
              <c:strCache>
                <c:ptCount val="1"/>
                <c:pt idx="0">
                  <c:v>Truck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Fuel.Use.Rate!$C$13:$C$87</c:f>
              <c:numCache>
                <c:formatCode>General</c:formatCode>
                <c:ptCount val="75"/>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24</c:v>
                </c:pt>
                <c:pt idx="20">
                  <c:v>25</c:v>
                </c:pt>
                <c:pt idx="21">
                  <c:v>26</c:v>
                </c:pt>
                <c:pt idx="22">
                  <c:v>27</c:v>
                </c:pt>
                <c:pt idx="23">
                  <c:v>28</c:v>
                </c:pt>
                <c:pt idx="24">
                  <c:v>29</c:v>
                </c:pt>
                <c:pt idx="25">
                  <c:v>30</c:v>
                </c:pt>
                <c:pt idx="26">
                  <c:v>31</c:v>
                </c:pt>
                <c:pt idx="27">
                  <c:v>32</c:v>
                </c:pt>
                <c:pt idx="28">
                  <c:v>33</c:v>
                </c:pt>
                <c:pt idx="29">
                  <c:v>34</c:v>
                </c:pt>
                <c:pt idx="30">
                  <c:v>35</c:v>
                </c:pt>
                <c:pt idx="31">
                  <c:v>36</c:v>
                </c:pt>
                <c:pt idx="32">
                  <c:v>37</c:v>
                </c:pt>
                <c:pt idx="33">
                  <c:v>38</c:v>
                </c:pt>
                <c:pt idx="34">
                  <c:v>39</c:v>
                </c:pt>
                <c:pt idx="35">
                  <c:v>40</c:v>
                </c:pt>
                <c:pt idx="36">
                  <c:v>41</c:v>
                </c:pt>
                <c:pt idx="37">
                  <c:v>42</c:v>
                </c:pt>
                <c:pt idx="38">
                  <c:v>43</c:v>
                </c:pt>
                <c:pt idx="39">
                  <c:v>44</c:v>
                </c:pt>
                <c:pt idx="40">
                  <c:v>45</c:v>
                </c:pt>
                <c:pt idx="41">
                  <c:v>46</c:v>
                </c:pt>
                <c:pt idx="42">
                  <c:v>47</c:v>
                </c:pt>
                <c:pt idx="43">
                  <c:v>48</c:v>
                </c:pt>
                <c:pt idx="44">
                  <c:v>49</c:v>
                </c:pt>
                <c:pt idx="45">
                  <c:v>50</c:v>
                </c:pt>
                <c:pt idx="46">
                  <c:v>51</c:v>
                </c:pt>
                <c:pt idx="47">
                  <c:v>52</c:v>
                </c:pt>
                <c:pt idx="48">
                  <c:v>53</c:v>
                </c:pt>
                <c:pt idx="49">
                  <c:v>54</c:v>
                </c:pt>
                <c:pt idx="50">
                  <c:v>55</c:v>
                </c:pt>
                <c:pt idx="51">
                  <c:v>56</c:v>
                </c:pt>
                <c:pt idx="52">
                  <c:v>57</c:v>
                </c:pt>
                <c:pt idx="53">
                  <c:v>58</c:v>
                </c:pt>
                <c:pt idx="54">
                  <c:v>59</c:v>
                </c:pt>
                <c:pt idx="55">
                  <c:v>60</c:v>
                </c:pt>
                <c:pt idx="56">
                  <c:v>61</c:v>
                </c:pt>
                <c:pt idx="57">
                  <c:v>62</c:v>
                </c:pt>
                <c:pt idx="58">
                  <c:v>63</c:v>
                </c:pt>
                <c:pt idx="59">
                  <c:v>64</c:v>
                </c:pt>
                <c:pt idx="60">
                  <c:v>65</c:v>
                </c:pt>
                <c:pt idx="61">
                  <c:v>66</c:v>
                </c:pt>
                <c:pt idx="62">
                  <c:v>67</c:v>
                </c:pt>
                <c:pt idx="63">
                  <c:v>68</c:v>
                </c:pt>
                <c:pt idx="64">
                  <c:v>69</c:v>
                </c:pt>
                <c:pt idx="65">
                  <c:v>70</c:v>
                </c:pt>
                <c:pt idx="66">
                  <c:v>71</c:v>
                </c:pt>
                <c:pt idx="67">
                  <c:v>72</c:v>
                </c:pt>
                <c:pt idx="68">
                  <c:v>73</c:v>
                </c:pt>
                <c:pt idx="69">
                  <c:v>74</c:v>
                </c:pt>
                <c:pt idx="70">
                  <c:v>75</c:v>
                </c:pt>
                <c:pt idx="71">
                  <c:v>76</c:v>
                </c:pt>
                <c:pt idx="72">
                  <c:v>77</c:v>
                </c:pt>
                <c:pt idx="73">
                  <c:v>78</c:v>
                </c:pt>
                <c:pt idx="74">
                  <c:v>79</c:v>
                </c:pt>
              </c:numCache>
            </c:numRef>
          </c:cat>
          <c:val>
            <c:numRef>
              <c:f>Fuel.Use.Rate!$E$13:$E$88</c:f>
              <c:numCache>
                <c:formatCode>0.0000</c:formatCode>
                <c:ptCount val="76"/>
                <c:pt idx="0">
                  <c:v>0.22339999999999999</c:v>
                </c:pt>
                <c:pt idx="1">
                  <c:v>0.21299999999999999</c:v>
                </c:pt>
                <c:pt idx="2">
                  <c:v>0.2026</c:v>
                </c:pt>
                <c:pt idx="3">
                  <c:v>0.19220000000000001</c:v>
                </c:pt>
                <c:pt idx="4">
                  <c:v>0.18179999999999999</c:v>
                </c:pt>
                <c:pt idx="5">
                  <c:v>0.1714</c:v>
                </c:pt>
                <c:pt idx="6">
                  <c:v>0.16309999999999999</c:v>
                </c:pt>
                <c:pt idx="7">
                  <c:v>0.15479999999999999</c:v>
                </c:pt>
                <c:pt idx="8">
                  <c:v>0.14660000000000001</c:v>
                </c:pt>
                <c:pt idx="9">
                  <c:v>0.13830000000000001</c:v>
                </c:pt>
                <c:pt idx="10">
                  <c:v>0.13</c:v>
                </c:pt>
                <c:pt idx="11">
                  <c:v>0.12470000000000001</c:v>
                </c:pt>
                <c:pt idx="12">
                  <c:v>0.1193</c:v>
                </c:pt>
                <c:pt idx="13">
                  <c:v>0.1139</c:v>
                </c:pt>
                <c:pt idx="14">
                  <c:v>0.1086</c:v>
                </c:pt>
                <c:pt idx="15">
                  <c:v>0.1032</c:v>
                </c:pt>
                <c:pt idx="16">
                  <c:v>9.9699999999999997E-2</c:v>
                </c:pt>
                <c:pt idx="17">
                  <c:v>9.6199999999999994E-2</c:v>
                </c:pt>
                <c:pt idx="18">
                  <c:v>9.2600000000000002E-2</c:v>
                </c:pt>
                <c:pt idx="19">
                  <c:v>8.9099999999999999E-2</c:v>
                </c:pt>
                <c:pt idx="20">
                  <c:v>8.5599999999999996E-2</c:v>
                </c:pt>
                <c:pt idx="21">
                  <c:v>8.3199999999999996E-2</c:v>
                </c:pt>
                <c:pt idx="22">
                  <c:v>8.09E-2</c:v>
                </c:pt>
                <c:pt idx="23">
                  <c:v>7.85E-2</c:v>
                </c:pt>
                <c:pt idx="24">
                  <c:v>7.6200000000000004E-2</c:v>
                </c:pt>
                <c:pt idx="25">
                  <c:v>7.3800000000000004E-2</c:v>
                </c:pt>
                <c:pt idx="26">
                  <c:v>7.2300000000000003E-2</c:v>
                </c:pt>
                <c:pt idx="27">
                  <c:v>7.0800000000000002E-2</c:v>
                </c:pt>
                <c:pt idx="28">
                  <c:v>6.93E-2</c:v>
                </c:pt>
                <c:pt idx="29">
                  <c:v>6.7799999999999999E-2</c:v>
                </c:pt>
                <c:pt idx="30">
                  <c:v>6.6299999999999998E-2</c:v>
                </c:pt>
                <c:pt idx="31">
                  <c:v>6.54E-2</c:v>
                </c:pt>
                <c:pt idx="32">
                  <c:v>6.4500000000000002E-2</c:v>
                </c:pt>
                <c:pt idx="33">
                  <c:v>6.3500000000000001E-2</c:v>
                </c:pt>
                <c:pt idx="34">
                  <c:v>6.2600000000000003E-2</c:v>
                </c:pt>
                <c:pt idx="35">
                  <c:v>6.1699999999999998E-2</c:v>
                </c:pt>
                <c:pt idx="36">
                  <c:v>6.13E-2</c:v>
                </c:pt>
                <c:pt idx="37">
                  <c:v>6.0900000000000003E-2</c:v>
                </c:pt>
                <c:pt idx="38">
                  <c:v>6.0400000000000002E-2</c:v>
                </c:pt>
                <c:pt idx="39">
                  <c:v>0.06</c:v>
                </c:pt>
                <c:pt idx="40">
                  <c:v>5.96E-2</c:v>
                </c:pt>
                <c:pt idx="41">
                  <c:v>5.96E-2</c:v>
                </c:pt>
                <c:pt idx="42">
                  <c:v>5.96E-2</c:v>
                </c:pt>
                <c:pt idx="43">
                  <c:v>5.96E-2</c:v>
                </c:pt>
                <c:pt idx="44">
                  <c:v>5.96E-2</c:v>
                </c:pt>
                <c:pt idx="45">
                  <c:v>5.96E-2</c:v>
                </c:pt>
                <c:pt idx="46">
                  <c:v>0.06</c:v>
                </c:pt>
                <c:pt idx="47">
                  <c:v>6.0400000000000002E-2</c:v>
                </c:pt>
                <c:pt idx="48">
                  <c:v>6.08E-2</c:v>
                </c:pt>
                <c:pt idx="49">
                  <c:v>6.1199999999999997E-2</c:v>
                </c:pt>
                <c:pt idx="50">
                  <c:v>6.1699999999999998E-2</c:v>
                </c:pt>
                <c:pt idx="51">
                  <c:v>6.2600000000000003E-2</c:v>
                </c:pt>
                <c:pt idx="52">
                  <c:v>6.3500000000000001E-2</c:v>
                </c:pt>
                <c:pt idx="53">
                  <c:v>6.4399999999999999E-2</c:v>
                </c:pt>
                <c:pt idx="54">
                  <c:v>6.5299999999999997E-2</c:v>
                </c:pt>
                <c:pt idx="55">
                  <c:v>6.6199999999999995E-2</c:v>
                </c:pt>
                <c:pt idx="56">
                  <c:v>6.7699999999999996E-2</c:v>
                </c:pt>
                <c:pt idx="57">
                  <c:v>6.9199999999999998E-2</c:v>
                </c:pt>
                <c:pt idx="58">
                  <c:v>7.0800000000000002E-2</c:v>
                </c:pt>
                <c:pt idx="59">
                  <c:v>7.2300000000000003E-2</c:v>
                </c:pt>
                <c:pt idx="60">
                  <c:v>7.3800000000000004E-2</c:v>
                </c:pt>
                <c:pt idx="61">
                  <c:v>7.5200000000000003E-2</c:v>
                </c:pt>
                <c:pt idx="62">
                  <c:v>7.6700000000000004E-2</c:v>
                </c:pt>
                <c:pt idx="63">
                  <c:v>7.8100000000000003E-2</c:v>
                </c:pt>
                <c:pt idx="64">
                  <c:v>7.9600000000000004E-2</c:v>
                </c:pt>
                <c:pt idx="65">
                  <c:v>8.1000000000000003E-2</c:v>
                </c:pt>
                <c:pt idx="66">
                  <c:v>8.2100000000000006E-2</c:v>
                </c:pt>
                <c:pt idx="67">
                  <c:v>8.3099999999999993E-2</c:v>
                </c:pt>
                <c:pt idx="68">
                  <c:v>8.4199999999999997E-2</c:v>
                </c:pt>
                <c:pt idx="69">
                  <c:v>8.5400000000000004E-2</c:v>
                </c:pt>
                <c:pt idx="70">
                  <c:v>8.6499999999999994E-2</c:v>
                </c:pt>
                <c:pt idx="71">
                  <c:v>8.8200000000000001E-2</c:v>
                </c:pt>
                <c:pt idx="72">
                  <c:v>0.09</c:v>
                </c:pt>
                <c:pt idx="73">
                  <c:v>9.1800000000000007E-2</c:v>
                </c:pt>
                <c:pt idx="74">
                  <c:v>9.3600000000000003E-2</c:v>
                </c:pt>
                <c:pt idx="75">
                  <c:v>9.5299999999999996E-2</c:v>
                </c:pt>
              </c:numCache>
            </c:numRef>
          </c:val>
          <c:smooth val="0"/>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166602240"/>
        <c:axId val="166604160"/>
      </c:lineChart>
      <c:catAx>
        <c:axId val="1666022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Speed (mph)</a:t>
                </a:r>
              </a:p>
            </c:rich>
          </c:tx>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604160"/>
        <c:crosses val="autoZero"/>
        <c:auto val="1"/>
        <c:lblAlgn val="ctr"/>
        <c:lblOffset val="100"/>
        <c:noMultiLvlLbl val="0"/>
      </c:catAx>
      <c:valAx>
        <c:axId val="166604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Fuel Consumption Rate</a:t>
                </a:r>
              </a:p>
            </c:rich>
          </c:tx>
          <c:layout/>
          <c:overlay val="0"/>
          <c:spPr>
            <a:noFill/>
            <a:ln>
              <a:noFill/>
            </a:ln>
            <a:effectLst/>
          </c:spPr>
        </c:title>
        <c:numFmt formatCode="0.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602240"/>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6</xdr:col>
      <xdr:colOff>54429</xdr:colOff>
      <xdr:row>46</xdr:row>
      <xdr:rowOff>228600</xdr:rowOff>
    </xdr:from>
    <xdr:ext cx="184731" cy="264560"/>
    <xdr:sp macro="" textlink="">
      <xdr:nvSpPr>
        <xdr:cNvPr id="2" name="TextBox 1"/>
        <xdr:cNvSpPr txBox="1"/>
      </xdr:nvSpPr>
      <xdr:spPr>
        <a:xfrm>
          <a:off x="11201400" y="10885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6</xdr:col>
      <xdr:colOff>713071</xdr:colOff>
      <xdr:row>0</xdr:row>
      <xdr:rowOff>0</xdr:rowOff>
    </xdr:from>
    <xdr:to>
      <xdr:col>13</xdr:col>
      <xdr:colOff>27979</xdr:colOff>
      <xdr:row>17</xdr:row>
      <xdr:rowOff>275677</xdr:rowOff>
    </xdr:to>
    <xdr:pic>
      <xdr:nvPicPr>
        <xdr:cNvPr id="2" name="Picture 1"/>
        <xdr:cNvPicPr>
          <a:picLocks noChangeAspect="1"/>
        </xdr:cNvPicPr>
      </xdr:nvPicPr>
      <xdr:blipFill>
        <a:blip xmlns:r="http://schemas.openxmlformats.org/officeDocument/2006/relationships" r:embed="rId1"/>
        <a:stretch>
          <a:fillRect/>
        </a:stretch>
      </xdr:blipFill>
      <xdr:spPr>
        <a:xfrm>
          <a:off x="6589996" y="0"/>
          <a:ext cx="3972633" cy="36475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458562</xdr:colOff>
      <xdr:row>0</xdr:row>
      <xdr:rowOff>216355</xdr:rowOff>
    </xdr:from>
    <xdr:to>
      <xdr:col>36</xdr:col>
      <xdr:colOff>115181</xdr:colOff>
      <xdr:row>33</xdr:row>
      <xdr:rowOff>96360</xdr:rowOff>
    </xdr:to>
    <xdr:pic>
      <xdr:nvPicPr>
        <xdr:cNvPr id="3" name="Picture 2"/>
        <xdr:cNvPicPr>
          <a:picLocks noChangeAspect="1"/>
        </xdr:cNvPicPr>
      </xdr:nvPicPr>
      <xdr:blipFill>
        <a:blip xmlns:r="http://schemas.openxmlformats.org/officeDocument/2006/relationships" r:embed="rId1"/>
        <a:stretch>
          <a:fillRect/>
        </a:stretch>
      </xdr:blipFill>
      <xdr:spPr>
        <a:xfrm>
          <a:off x="20964526" y="216355"/>
          <a:ext cx="7307037" cy="6849263"/>
        </a:xfrm>
        <a:prstGeom prst="rect">
          <a:avLst/>
        </a:prstGeom>
      </xdr:spPr>
    </xdr:pic>
    <xdr:clientData/>
  </xdr:twoCellAnchor>
  <xdr:twoCellAnchor editAs="oneCell">
    <xdr:from>
      <xdr:col>25</xdr:col>
      <xdr:colOff>542924</xdr:colOff>
      <xdr:row>36</xdr:row>
      <xdr:rowOff>32657</xdr:rowOff>
    </xdr:from>
    <xdr:to>
      <xdr:col>32</xdr:col>
      <xdr:colOff>455662</xdr:colOff>
      <xdr:row>46</xdr:row>
      <xdr:rowOff>141539</xdr:rowOff>
    </xdr:to>
    <xdr:pic>
      <xdr:nvPicPr>
        <xdr:cNvPr id="4" name="Picture 3"/>
        <xdr:cNvPicPr>
          <a:picLocks noChangeAspect="1"/>
        </xdr:cNvPicPr>
      </xdr:nvPicPr>
      <xdr:blipFill>
        <a:blip xmlns:r="http://schemas.openxmlformats.org/officeDocument/2006/relationships" r:embed="rId2"/>
        <a:stretch>
          <a:fillRect/>
        </a:stretch>
      </xdr:blipFill>
      <xdr:spPr>
        <a:xfrm>
          <a:off x="21661210" y="7584621"/>
          <a:ext cx="4198988" cy="20138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27</xdr:col>
      <xdr:colOff>653598</xdr:colOff>
      <xdr:row>1</xdr:row>
      <xdr:rowOff>178167</xdr:rowOff>
    </xdr:from>
    <xdr:to>
      <xdr:col>34</xdr:col>
      <xdr:colOff>697136</xdr:colOff>
      <xdr:row>17</xdr:row>
      <xdr:rowOff>149450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755602</xdr:colOff>
      <xdr:row>19</xdr:row>
      <xdr:rowOff>39274</xdr:rowOff>
    </xdr:from>
    <xdr:to>
      <xdr:col>35</xdr:col>
      <xdr:colOff>390773</xdr:colOff>
      <xdr:row>31</xdr:row>
      <xdr:rowOff>59531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581025</xdr:colOff>
      <xdr:row>19</xdr:row>
      <xdr:rowOff>38100</xdr:rowOff>
    </xdr:from>
    <xdr:to>
      <xdr:col>15</xdr:col>
      <xdr:colOff>733426</xdr:colOff>
      <xdr:row>56</xdr:row>
      <xdr:rowOff>94678</xdr:rowOff>
    </xdr:to>
    <xdr:pic>
      <xdr:nvPicPr>
        <xdr:cNvPr id="2" name="Picture 1"/>
        <xdr:cNvPicPr>
          <a:picLocks noChangeAspect="1"/>
        </xdr:cNvPicPr>
      </xdr:nvPicPr>
      <xdr:blipFill>
        <a:blip xmlns:r="http://schemas.openxmlformats.org/officeDocument/2006/relationships" r:embed="rId1"/>
        <a:stretch>
          <a:fillRect/>
        </a:stretch>
      </xdr:blipFill>
      <xdr:spPr>
        <a:xfrm>
          <a:off x="8077200" y="4876800"/>
          <a:ext cx="7277101" cy="68479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474053</xdr:colOff>
      <xdr:row>100</xdr:row>
      <xdr:rowOff>138929</xdr:rowOff>
    </xdr:from>
    <xdr:to>
      <xdr:col>7</xdr:col>
      <xdr:colOff>129268</xdr:colOff>
      <xdr:row>120</xdr:row>
      <xdr:rowOff>78467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356755</xdr:colOff>
      <xdr:row>121</xdr:row>
      <xdr:rowOff>96982</xdr:rowOff>
    </xdr:from>
    <xdr:to>
      <xdr:col>7</xdr:col>
      <xdr:colOff>21181</xdr:colOff>
      <xdr:row>140</xdr:row>
      <xdr:rowOff>173695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658091</xdr:colOff>
      <xdr:row>121</xdr:row>
      <xdr:rowOff>114300</xdr:rowOff>
    </xdr:from>
    <xdr:to>
      <xdr:col>15</xdr:col>
      <xdr:colOff>314879</xdr:colOff>
      <xdr:row>141</xdr:row>
      <xdr:rowOff>513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676275</xdr:colOff>
      <xdr:row>101</xdr:row>
      <xdr:rowOff>19050</xdr:rowOff>
    </xdr:from>
    <xdr:to>
      <xdr:col>15</xdr:col>
      <xdr:colOff>289413</xdr:colOff>
      <xdr:row>120</xdr:row>
      <xdr:rowOff>114302</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648758</xdr:colOff>
      <xdr:row>17</xdr:row>
      <xdr:rowOff>175231</xdr:rowOff>
    </xdr:from>
    <xdr:to>
      <xdr:col>18</xdr:col>
      <xdr:colOff>589090</xdr:colOff>
      <xdr:row>25</xdr:row>
      <xdr:rowOff>148985</xdr:rowOff>
    </xdr:to>
    <xdr:pic>
      <xdr:nvPicPr>
        <xdr:cNvPr id="2" name="Picture 1"/>
        <xdr:cNvPicPr>
          <a:picLocks noChangeAspect="1"/>
        </xdr:cNvPicPr>
      </xdr:nvPicPr>
      <xdr:blipFill>
        <a:blip xmlns:r="http://schemas.openxmlformats.org/officeDocument/2006/relationships" r:embed="rId1"/>
        <a:stretch>
          <a:fillRect/>
        </a:stretch>
      </xdr:blipFill>
      <xdr:spPr>
        <a:xfrm>
          <a:off x="5125508" y="4499581"/>
          <a:ext cx="10265432" cy="1688254"/>
        </a:xfrm>
        <a:prstGeom prst="rect">
          <a:avLst/>
        </a:prstGeom>
      </xdr:spPr>
    </xdr:pic>
    <xdr:clientData/>
  </xdr:twoCellAnchor>
  <xdr:twoCellAnchor editAs="oneCell">
    <xdr:from>
      <xdr:col>1</xdr:col>
      <xdr:colOff>63500</xdr:colOff>
      <xdr:row>40</xdr:row>
      <xdr:rowOff>70756</xdr:rowOff>
    </xdr:from>
    <xdr:to>
      <xdr:col>8</xdr:col>
      <xdr:colOff>669521</xdr:colOff>
      <xdr:row>46</xdr:row>
      <xdr:rowOff>63499</xdr:rowOff>
    </xdr:to>
    <xdr:pic>
      <xdr:nvPicPr>
        <xdr:cNvPr id="3" name="Picture 2"/>
        <xdr:cNvPicPr>
          <a:picLocks noChangeAspect="1"/>
        </xdr:cNvPicPr>
      </xdr:nvPicPr>
      <xdr:blipFill>
        <a:blip xmlns:r="http://schemas.openxmlformats.org/officeDocument/2006/relationships" r:embed="rId2"/>
        <a:stretch>
          <a:fillRect/>
        </a:stretch>
      </xdr:blipFill>
      <xdr:spPr>
        <a:xfrm>
          <a:off x="656167" y="8780839"/>
          <a:ext cx="7612187" cy="1135743"/>
        </a:xfrm>
        <a:prstGeom prst="rect">
          <a:avLst/>
        </a:prstGeom>
      </xdr:spPr>
    </xdr:pic>
    <xdr:clientData/>
  </xdr:twoCellAnchor>
  <xdr:twoCellAnchor editAs="oneCell">
    <xdr:from>
      <xdr:col>1</xdr:col>
      <xdr:colOff>21165</xdr:colOff>
      <xdr:row>46</xdr:row>
      <xdr:rowOff>179916</xdr:rowOff>
    </xdr:from>
    <xdr:to>
      <xdr:col>8</xdr:col>
      <xdr:colOff>446180</xdr:colOff>
      <xdr:row>64</xdr:row>
      <xdr:rowOff>84667</xdr:rowOff>
    </xdr:to>
    <xdr:pic>
      <xdr:nvPicPr>
        <xdr:cNvPr id="4" name="Picture 3"/>
        <xdr:cNvPicPr>
          <a:picLocks noChangeAspect="1"/>
        </xdr:cNvPicPr>
      </xdr:nvPicPr>
      <xdr:blipFill>
        <a:blip xmlns:r="http://schemas.openxmlformats.org/officeDocument/2006/relationships" r:embed="rId3"/>
        <a:stretch>
          <a:fillRect/>
        </a:stretch>
      </xdr:blipFill>
      <xdr:spPr>
        <a:xfrm>
          <a:off x="613832" y="10032999"/>
          <a:ext cx="7431181" cy="33337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149679</xdr:colOff>
      <xdr:row>14</xdr:row>
      <xdr:rowOff>77560</xdr:rowOff>
    </xdr:from>
    <xdr:to>
      <xdr:col>24</xdr:col>
      <xdr:colOff>326571</xdr:colOff>
      <xdr:row>43</xdr:row>
      <xdr:rowOff>68036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52</xdr:col>
      <xdr:colOff>185048</xdr:colOff>
      <xdr:row>59</xdr:row>
      <xdr:rowOff>12700</xdr:rowOff>
    </xdr:from>
    <xdr:to>
      <xdr:col>63</xdr:col>
      <xdr:colOff>360939</xdr:colOff>
      <xdr:row>82</xdr:row>
      <xdr:rowOff>180276</xdr:rowOff>
    </xdr:to>
    <xdr:pic>
      <xdr:nvPicPr>
        <xdr:cNvPr id="2" name="Picture 1"/>
        <xdr:cNvPicPr>
          <a:picLocks noChangeAspect="1"/>
        </xdr:cNvPicPr>
      </xdr:nvPicPr>
      <xdr:blipFill>
        <a:blip xmlns:r="http://schemas.openxmlformats.org/officeDocument/2006/relationships" r:embed="rId1"/>
        <a:stretch>
          <a:fillRect/>
        </a:stretch>
      </xdr:blipFill>
      <xdr:spPr>
        <a:xfrm>
          <a:off x="9189348" y="11823700"/>
          <a:ext cx="6881490" cy="4752276"/>
        </a:xfrm>
        <a:prstGeom prst="rect">
          <a:avLst/>
        </a:prstGeom>
        <a:ln w="19050">
          <a:solidFill>
            <a:schemeClr val="tx1"/>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1298864</xdr:colOff>
      <xdr:row>0</xdr:row>
      <xdr:rowOff>138819</xdr:rowOff>
    </xdr:from>
    <xdr:to>
      <xdr:col>14</xdr:col>
      <xdr:colOff>1195823</xdr:colOff>
      <xdr:row>17</xdr:row>
      <xdr:rowOff>202197</xdr:rowOff>
    </xdr:to>
    <xdr:pic>
      <xdr:nvPicPr>
        <xdr:cNvPr id="4" name="Picture 3"/>
        <xdr:cNvPicPr>
          <a:picLocks noChangeAspect="1"/>
        </xdr:cNvPicPr>
      </xdr:nvPicPr>
      <xdr:blipFill>
        <a:blip xmlns:r="http://schemas.openxmlformats.org/officeDocument/2006/relationships" r:embed="rId1"/>
        <a:stretch>
          <a:fillRect/>
        </a:stretch>
      </xdr:blipFill>
      <xdr:spPr>
        <a:xfrm>
          <a:off x="15153409" y="138819"/>
          <a:ext cx="5975641" cy="4462196"/>
        </a:xfrm>
        <a:prstGeom prst="rect">
          <a:avLst/>
        </a:prstGeom>
        <a:ln>
          <a:solidFill>
            <a:schemeClr val="tx1"/>
          </a:solidFill>
        </a:ln>
      </xdr:spPr>
    </xdr:pic>
    <xdr:clientData/>
  </xdr:twoCellAnchor>
  <xdr:twoCellAnchor editAs="oneCell">
    <xdr:from>
      <xdr:col>19</xdr:col>
      <xdr:colOff>606137</xdr:colOff>
      <xdr:row>2</xdr:row>
      <xdr:rowOff>1502</xdr:rowOff>
    </xdr:from>
    <xdr:to>
      <xdr:col>26</xdr:col>
      <xdr:colOff>633938</xdr:colOff>
      <xdr:row>10</xdr:row>
      <xdr:rowOff>139487</xdr:rowOff>
    </xdr:to>
    <xdr:pic>
      <xdr:nvPicPr>
        <xdr:cNvPr id="5" name="Picture 4"/>
        <xdr:cNvPicPr>
          <a:picLocks noChangeAspect="1"/>
        </xdr:cNvPicPr>
      </xdr:nvPicPr>
      <xdr:blipFill>
        <a:blip xmlns:r="http://schemas.openxmlformats.org/officeDocument/2006/relationships" r:embed="rId2"/>
        <a:stretch>
          <a:fillRect/>
        </a:stretch>
      </xdr:blipFill>
      <xdr:spPr>
        <a:xfrm>
          <a:off x="27795682" y="486411"/>
          <a:ext cx="9725983" cy="2354712"/>
        </a:xfrm>
        <a:prstGeom prst="rect">
          <a:avLst/>
        </a:prstGeom>
        <a:ln>
          <a:solidFill>
            <a:schemeClr val="tx1"/>
          </a:solidFill>
        </a:ln>
      </xdr:spPr>
    </xdr:pic>
    <xdr:clientData/>
  </xdr:twoCellAnchor>
  <xdr:twoCellAnchor editAs="oneCell">
    <xdr:from>
      <xdr:col>19</xdr:col>
      <xdr:colOff>588820</xdr:colOff>
      <xdr:row>11</xdr:row>
      <xdr:rowOff>218938</xdr:rowOff>
    </xdr:from>
    <xdr:to>
      <xdr:col>26</xdr:col>
      <xdr:colOff>811575</xdr:colOff>
      <xdr:row>20</xdr:row>
      <xdr:rowOff>477397</xdr:rowOff>
    </xdr:to>
    <xdr:pic>
      <xdr:nvPicPr>
        <xdr:cNvPr id="6" name="Picture 5"/>
        <xdr:cNvPicPr>
          <a:picLocks noChangeAspect="1"/>
        </xdr:cNvPicPr>
      </xdr:nvPicPr>
      <xdr:blipFill>
        <a:blip xmlns:r="http://schemas.openxmlformats.org/officeDocument/2006/relationships" r:embed="rId3"/>
        <a:stretch>
          <a:fillRect/>
        </a:stretch>
      </xdr:blipFill>
      <xdr:spPr>
        <a:xfrm>
          <a:off x="27778365" y="3163029"/>
          <a:ext cx="9920937" cy="2440550"/>
        </a:xfrm>
        <a:prstGeom prst="rect">
          <a:avLst/>
        </a:prstGeom>
        <a:ln>
          <a:solidFill>
            <a:schemeClr val="tx1"/>
          </a:solidFill>
        </a:ln>
      </xdr:spPr>
    </xdr:pic>
    <xdr:clientData/>
  </xdr:twoCellAnchor>
  <xdr:twoCellAnchor editAs="oneCell">
    <xdr:from>
      <xdr:col>19</xdr:col>
      <xdr:colOff>532032</xdr:colOff>
      <xdr:row>22</xdr:row>
      <xdr:rowOff>50262</xdr:rowOff>
    </xdr:from>
    <xdr:to>
      <xdr:col>26</xdr:col>
      <xdr:colOff>885182</xdr:colOff>
      <xdr:row>31</xdr:row>
      <xdr:rowOff>121228</xdr:rowOff>
    </xdr:to>
    <xdr:pic>
      <xdr:nvPicPr>
        <xdr:cNvPr id="7" name="Picture 6"/>
        <xdr:cNvPicPr>
          <a:picLocks noChangeAspect="1"/>
        </xdr:cNvPicPr>
      </xdr:nvPicPr>
      <xdr:blipFill>
        <a:blip xmlns:r="http://schemas.openxmlformats.org/officeDocument/2006/relationships" r:embed="rId4"/>
        <a:stretch>
          <a:fillRect/>
        </a:stretch>
      </xdr:blipFill>
      <xdr:spPr>
        <a:xfrm>
          <a:off x="27721577" y="5955762"/>
          <a:ext cx="10051332" cy="2443557"/>
        </a:xfrm>
        <a:prstGeom prst="rect">
          <a:avLst/>
        </a:prstGeom>
        <a:ln>
          <a:solidFill>
            <a:schemeClr val="tx1"/>
          </a:solidFill>
        </a:ln>
      </xdr:spPr>
    </xdr:pic>
    <xdr:clientData/>
  </xdr:twoCellAnchor>
  <xdr:twoCellAnchor editAs="oneCell">
    <xdr:from>
      <xdr:col>19</xdr:col>
      <xdr:colOff>502227</xdr:colOff>
      <xdr:row>32</xdr:row>
      <xdr:rowOff>209226</xdr:rowOff>
    </xdr:from>
    <xdr:to>
      <xdr:col>26</xdr:col>
      <xdr:colOff>993450</xdr:colOff>
      <xdr:row>42</xdr:row>
      <xdr:rowOff>153587</xdr:rowOff>
    </xdr:to>
    <xdr:pic>
      <xdr:nvPicPr>
        <xdr:cNvPr id="8" name="Picture 7"/>
        <xdr:cNvPicPr>
          <a:picLocks noChangeAspect="1"/>
        </xdr:cNvPicPr>
      </xdr:nvPicPr>
      <xdr:blipFill>
        <a:blip xmlns:r="http://schemas.openxmlformats.org/officeDocument/2006/relationships" r:embed="rId5"/>
        <a:stretch>
          <a:fillRect/>
        </a:stretch>
      </xdr:blipFill>
      <xdr:spPr>
        <a:xfrm>
          <a:off x="27691772" y="8729771"/>
          <a:ext cx="10189405" cy="2368907"/>
        </a:xfrm>
        <a:prstGeom prst="rect">
          <a:avLst/>
        </a:prstGeom>
        <a:ln>
          <a:solidFill>
            <a:schemeClr val="tx1"/>
          </a:solidFill>
        </a:ln>
      </xdr:spPr>
    </xdr:pic>
    <xdr:clientData/>
  </xdr:twoCellAnchor>
  <xdr:twoCellAnchor editAs="oneCell">
    <xdr:from>
      <xdr:col>19</xdr:col>
      <xdr:colOff>465626</xdr:colOff>
      <xdr:row>43</xdr:row>
      <xdr:rowOff>138545</xdr:rowOff>
    </xdr:from>
    <xdr:to>
      <xdr:col>26</xdr:col>
      <xdr:colOff>1101696</xdr:colOff>
      <xdr:row>53</xdr:row>
      <xdr:rowOff>170027</xdr:rowOff>
    </xdr:to>
    <xdr:pic>
      <xdr:nvPicPr>
        <xdr:cNvPr id="10" name="Picture 9"/>
        <xdr:cNvPicPr>
          <a:picLocks noChangeAspect="1"/>
        </xdr:cNvPicPr>
      </xdr:nvPicPr>
      <xdr:blipFill>
        <a:blip xmlns:r="http://schemas.openxmlformats.org/officeDocument/2006/relationships" r:embed="rId6"/>
        <a:stretch>
          <a:fillRect/>
        </a:stretch>
      </xdr:blipFill>
      <xdr:spPr>
        <a:xfrm>
          <a:off x="27655171" y="11326090"/>
          <a:ext cx="10334252" cy="2456028"/>
        </a:xfrm>
        <a:prstGeom prst="rect">
          <a:avLst/>
        </a:prstGeom>
        <a:ln>
          <a:solidFill>
            <a:schemeClr val="tx1"/>
          </a:solidFill>
        </a:ln>
      </xdr:spPr>
    </xdr:pic>
    <xdr:clientData/>
  </xdr:twoCellAnchor>
  <xdr:twoCellAnchor editAs="oneCell">
    <xdr:from>
      <xdr:col>19</xdr:col>
      <xdr:colOff>398317</xdr:colOff>
      <xdr:row>53</xdr:row>
      <xdr:rowOff>212101</xdr:rowOff>
    </xdr:from>
    <xdr:to>
      <xdr:col>26</xdr:col>
      <xdr:colOff>1049740</xdr:colOff>
      <xdr:row>64</xdr:row>
      <xdr:rowOff>57448</xdr:rowOff>
    </xdr:to>
    <xdr:pic>
      <xdr:nvPicPr>
        <xdr:cNvPr id="11" name="Picture 10"/>
        <xdr:cNvPicPr>
          <a:picLocks noChangeAspect="1"/>
        </xdr:cNvPicPr>
      </xdr:nvPicPr>
      <xdr:blipFill>
        <a:blip xmlns:r="http://schemas.openxmlformats.org/officeDocument/2006/relationships" r:embed="rId7"/>
        <a:stretch>
          <a:fillRect/>
        </a:stretch>
      </xdr:blipFill>
      <xdr:spPr>
        <a:xfrm>
          <a:off x="27587862" y="13824192"/>
          <a:ext cx="10349605" cy="2512347"/>
        </a:xfrm>
        <a:prstGeom prst="rect">
          <a:avLst/>
        </a:prstGeom>
      </xdr:spPr>
    </xdr:pic>
    <xdr:clientData/>
  </xdr:twoCellAnchor>
  <xdr:twoCellAnchor editAs="oneCell">
    <xdr:from>
      <xdr:col>15</xdr:col>
      <xdr:colOff>1</xdr:colOff>
      <xdr:row>3</xdr:row>
      <xdr:rowOff>0</xdr:rowOff>
    </xdr:from>
    <xdr:to>
      <xdr:col>18</xdr:col>
      <xdr:colOff>114516</xdr:colOff>
      <xdr:row>5</xdr:row>
      <xdr:rowOff>69272</xdr:rowOff>
    </xdr:to>
    <xdr:pic>
      <xdr:nvPicPr>
        <xdr:cNvPr id="12" name="Picture 11"/>
        <xdr:cNvPicPr>
          <a:picLocks noChangeAspect="1"/>
        </xdr:cNvPicPr>
      </xdr:nvPicPr>
      <xdr:blipFill>
        <a:blip xmlns:r="http://schemas.openxmlformats.org/officeDocument/2006/relationships" r:embed="rId8"/>
        <a:stretch>
          <a:fillRect/>
        </a:stretch>
      </xdr:blipFill>
      <xdr:spPr>
        <a:xfrm>
          <a:off x="21110865" y="727364"/>
          <a:ext cx="4599924" cy="8312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victoria/Documents/Life-Cycle%20BCA%20Model%20(CA)/Cal_BC_v5.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victoria/Documents/Freight%20Corridor%20Bottleneck%20Relief%2060/CalBC/Cal_BC_v5.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victoria/Documents/Freight%20Corridor%20Bottleneck%20Relief%2060/BCR%20Spreedsheet/Lamar%20Ave,%20BCA%20Spreedshe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Models\COMMUTER\COMMUTER_v20\COMMUTER_v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victoria/Documents/Lamar%20Corridor%20Project%20(FASTLANE)/EmmissionRates/Indy_AQCal_Update_20160212.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Template%20of%20Benefits%20%20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sindrakanti/Desktop/TC_CWW%20v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8623%20-%20NJTPA_GHGRedctPln\001\Task%202\Analysis\NJTPA-GHGInv&amp;ForecastTool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Instructions"/>
      <sheetName val="1) Project Information"/>
      <sheetName val="2) Model Inputs"/>
      <sheetName val="3) Results"/>
      <sheetName val="Travel Time"/>
      <sheetName val="Vehicle Operating Costs"/>
      <sheetName val="Accident Costs"/>
      <sheetName val="Emissions"/>
      <sheetName val="Final Calculations"/>
      <sheetName val="PARAMETERS"/>
      <sheetName val="Module1"/>
    </sheetNames>
    <sheetDataSet>
      <sheetData sheetId="0" refreshError="1"/>
      <sheetData sheetId="1" refreshError="1"/>
      <sheetData sheetId="2">
        <row r="4">
          <cell r="E4" t="str">
            <v>Hypothetical Project</v>
          </cell>
        </row>
        <row r="12">
          <cell r="Q12">
            <v>7.0000000000000001E-3</v>
          </cell>
        </row>
        <row r="13">
          <cell r="Q13">
            <v>0.27</v>
          </cell>
        </row>
        <row r="14">
          <cell r="Q14">
            <v>0.53</v>
          </cell>
        </row>
        <row r="15">
          <cell r="F15">
            <v>2</v>
          </cell>
        </row>
        <row r="17">
          <cell r="F17">
            <v>5</v>
          </cell>
        </row>
        <row r="24">
          <cell r="G24" t="str">
            <v>F</v>
          </cell>
          <cell r="H24" t="str">
            <v>F</v>
          </cell>
        </row>
        <row r="28">
          <cell r="G28" t="str">
            <v>N</v>
          </cell>
        </row>
        <row r="30">
          <cell r="H30">
            <v>0</v>
          </cell>
          <cell r="P30">
            <v>0.41</v>
          </cell>
        </row>
        <row r="31">
          <cell r="G31">
            <v>35</v>
          </cell>
          <cell r="H31">
            <v>35</v>
          </cell>
          <cell r="Q31">
            <v>1</v>
          </cell>
        </row>
        <row r="32">
          <cell r="H32">
            <v>0</v>
          </cell>
        </row>
        <row r="33">
          <cell r="G33">
            <v>0</v>
          </cell>
          <cell r="H33">
            <v>0</v>
          </cell>
        </row>
        <row r="38">
          <cell r="G38">
            <v>0</v>
          </cell>
          <cell r="H38">
            <v>0</v>
          </cell>
        </row>
        <row r="39">
          <cell r="H39">
            <v>0</v>
          </cell>
        </row>
        <row r="40">
          <cell r="H40">
            <v>0</v>
          </cell>
        </row>
        <row r="41">
          <cell r="H41">
            <v>1</v>
          </cell>
        </row>
        <row r="42">
          <cell r="G42" t="str">
            <v/>
          </cell>
          <cell r="H42">
            <v>0</v>
          </cell>
          <cell r="Q42">
            <v>0</v>
          </cell>
        </row>
        <row r="43">
          <cell r="G43">
            <v>0.09</v>
          </cell>
          <cell r="H43">
            <v>0.09</v>
          </cell>
          <cell r="Q43">
            <v>0</v>
          </cell>
        </row>
        <row r="44">
          <cell r="P44">
            <v>0</v>
          </cell>
          <cell r="Q44">
            <v>0</v>
          </cell>
        </row>
        <row r="45">
          <cell r="P45">
            <v>0</v>
          </cell>
          <cell r="Q45">
            <v>0</v>
          </cell>
        </row>
        <row r="47">
          <cell r="G47">
            <v>0</v>
          </cell>
          <cell r="H47">
            <v>0</v>
          </cell>
        </row>
        <row r="48">
          <cell r="P48">
            <v>0</v>
          </cell>
        </row>
        <row r="49">
          <cell r="P49">
            <v>0</v>
          </cell>
        </row>
        <row r="51">
          <cell r="G51">
            <v>0</v>
          </cell>
          <cell r="H51">
            <v>0</v>
          </cell>
        </row>
        <row r="52">
          <cell r="G52">
            <v>0</v>
          </cell>
          <cell r="H52">
            <v>0</v>
          </cell>
          <cell r="Q52">
            <v>0</v>
          </cell>
        </row>
        <row r="53">
          <cell r="Q53">
            <v>0</v>
          </cell>
        </row>
        <row r="56">
          <cell r="G56" t="str">
            <v/>
          </cell>
          <cell r="H56" t="str">
            <v/>
          </cell>
        </row>
        <row r="59">
          <cell r="G59">
            <v>1.3</v>
          </cell>
          <cell r="H59">
            <v>1.3</v>
          </cell>
        </row>
        <row r="60">
          <cell r="G60">
            <v>1.1499999999999999</v>
          </cell>
          <cell r="H60">
            <v>1.1499999999999999</v>
          </cell>
        </row>
        <row r="61">
          <cell r="G61">
            <v>2.15</v>
          </cell>
          <cell r="H61">
            <v>2.15</v>
          </cell>
        </row>
      </sheetData>
      <sheetData sheetId="3">
        <row r="7">
          <cell r="U7">
            <v>7.0000000000000001E-3</v>
          </cell>
        </row>
        <row r="8">
          <cell r="U8">
            <v>0.27</v>
          </cell>
        </row>
        <row r="9">
          <cell r="I9">
            <v>0</v>
          </cell>
          <cell r="U9">
            <v>0.53</v>
          </cell>
        </row>
        <row r="10">
          <cell r="I10">
            <v>0</v>
          </cell>
          <cell r="AG10">
            <v>0</v>
          </cell>
        </row>
        <row r="11">
          <cell r="I11">
            <v>0</v>
          </cell>
          <cell r="AG11">
            <v>0</v>
          </cell>
        </row>
        <row r="12">
          <cell r="I12">
            <v>0</v>
          </cell>
          <cell r="T12">
            <v>0</v>
          </cell>
        </row>
        <row r="13">
          <cell r="I13">
            <v>55</v>
          </cell>
        </row>
        <row r="14">
          <cell r="I14">
            <v>55</v>
          </cell>
          <cell r="AG14">
            <v>0</v>
          </cell>
        </row>
        <row r="15">
          <cell r="I15">
            <v>55</v>
          </cell>
          <cell r="AG15">
            <v>0</v>
          </cell>
        </row>
        <row r="16">
          <cell r="I16">
            <v>55</v>
          </cell>
        </row>
        <row r="19">
          <cell r="I19">
            <v>0</v>
          </cell>
        </row>
        <row r="20">
          <cell r="I20">
            <v>0</v>
          </cell>
          <cell r="U20">
            <v>7.0000000000000001E-3</v>
          </cell>
        </row>
        <row r="21">
          <cell r="I21">
            <v>0</v>
          </cell>
          <cell r="U21">
            <v>0.27</v>
          </cell>
        </row>
        <row r="22">
          <cell r="I22">
            <v>55</v>
          </cell>
          <cell r="U22">
            <v>0.53</v>
          </cell>
        </row>
        <row r="23">
          <cell r="I23">
            <v>55</v>
          </cell>
        </row>
        <row r="24">
          <cell r="I24">
            <v>55</v>
          </cell>
        </row>
        <row r="25">
          <cell r="AG25">
            <v>0</v>
          </cell>
        </row>
        <row r="26">
          <cell r="AG26">
            <v>0</v>
          </cell>
        </row>
        <row r="28">
          <cell r="I28">
            <v>0</v>
          </cell>
        </row>
        <row r="29">
          <cell r="I29">
            <v>0</v>
          </cell>
          <cell r="AG29">
            <v>0</v>
          </cell>
        </row>
        <row r="30">
          <cell r="I30">
            <v>0</v>
          </cell>
          <cell r="AG30">
            <v>0</v>
          </cell>
        </row>
        <row r="31">
          <cell r="I31">
            <v>0</v>
          </cell>
        </row>
        <row r="32">
          <cell r="I32">
            <v>55</v>
          </cell>
        </row>
        <row r="33">
          <cell r="I33">
            <v>55</v>
          </cell>
        </row>
        <row r="34">
          <cell r="I34">
            <v>55</v>
          </cell>
        </row>
        <row r="35">
          <cell r="I35">
            <v>55</v>
          </cell>
        </row>
        <row r="38">
          <cell r="I38">
            <v>0</v>
          </cell>
        </row>
        <row r="39">
          <cell r="I39">
            <v>0</v>
          </cell>
        </row>
        <row r="40">
          <cell r="I40">
            <v>0</v>
          </cell>
          <cell r="T40" t="str">
            <v>N</v>
          </cell>
        </row>
        <row r="41">
          <cell r="I41">
            <v>55</v>
          </cell>
        </row>
        <row r="42">
          <cell r="I42">
            <v>55</v>
          </cell>
        </row>
        <row r="43">
          <cell r="I43">
            <v>55</v>
          </cell>
        </row>
        <row r="49">
          <cell r="I49">
            <v>0</v>
          </cell>
        </row>
        <row r="50">
          <cell r="I50">
            <v>0</v>
          </cell>
        </row>
        <row r="51">
          <cell r="I51">
            <v>0</v>
          </cell>
          <cell r="U51">
            <v>0</v>
          </cell>
        </row>
        <row r="52">
          <cell r="I52">
            <v>0</v>
          </cell>
          <cell r="U52">
            <v>0</v>
          </cell>
        </row>
        <row r="53">
          <cell r="I53">
            <v>55</v>
          </cell>
          <cell r="U53">
            <v>5</v>
          </cell>
        </row>
        <row r="54">
          <cell r="I54">
            <v>55</v>
          </cell>
          <cell r="U54">
            <v>5</v>
          </cell>
        </row>
        <row r="55">
          <cell r="I55">
            <v>55</v>
          </cell>
        </row>
        <row r="56">
          <cell r="I56">
            <v>55</v>
          </cell>
        </row>
        <row r="57">
          <cell r="U57">
            <v>0</v>
          </cell>
        </row>
        <row r="58">
          <cell r="U58">
            <v>0</v>
          </cell>
        </row>
        <row r="59">
          <cell r="I59">
            <v>0</v>
          </cell>
          <cell r="U59">
            <v>5</v>
          </cell>
        </row>
        <row r="60">
          <cell r="I60">
            <v>0</v>
          </cell>
          <cell r="U60">
            <v>5</v>
          </cell>
        </row>
        <row r="61">
          <cell r="I61">
            <v>0</v>
          </cell>
        </row>
        <row r="62">
          <cell r="I62">
            <v>55</v>
          </cell>
        </row>
        <row r="63">
          <cell r="I63">
            <v>55</v>
          </cell>
        </row>
        <row r="64">
          <cell r="I64">
            <v>55</v>
          </cell>
        </row>
        <row r="65">
          <cell r="U65">
            <v>0</v>
          </cell>
        </row>
        <row r="66">
          <cell r="U66">
            <v>0</v>
          </cell>
        </row>
        <row r="67">
          <cell r="U67">
            <v>5</v>
          </cell>
        </row>
        <row r="68">
          <cell r="I68">
            <v>0</v>
          </cell>
          <cell r="U68">
            <v>5</v>
          </cell>
        </row>
        <row r="69">
          <cell r="I69">
            <v>0</v>
          </cell>
        </row>
        <row r="70">
          <cell r="I70">
            <v>0</v>
          </cell>
        </row>
        <row r="71">
          <cell r="I71">
            <v>0</v>
          </cell>
          <cell r="U71">
            <v>0</v>
          </cell>
        </row>
        <row r="72">
          <cell r="I72">
            <v>55</v>
          </cell>
          <cell r="U72">
            <v>0</v>
          </cell>
        </row>
        <row r="73">
          <cell r="I73">
            <v>55</v>
          </cell>
          <cell r="U73">
            <v>5</v>
          </cell>
        </row>
        <row r="74">
          <cell r="I74">
            <v>55</v>
          </cell>
          <cell r="U74">
            <v>5</v>
          </cell>
        </row>
        <row r="75">
          <cell r="I75">
            <v>55</v>
          </cell>
        </row>
        <row r="78">
          <cell r="I78">
            <v>0</v>
          </cell>
        </row>
        <row r="79">
          <cell r="I79">
            <v>0</v>
          </cell>
        </row>
        <row r="80">
          <cell r="I80">
            <v>0</v>
          </cell>
        </row>
        <row r="81">
          <cell r="I81">
            <v>55</v>
          </cell>
        </row>
        <row r="82">
          <cell r="I82">
            <v>55</v>
          </cell>
        </row>
        <row r="83">
          <cell r="I83">
            <v>55</v>
          </cell>
        </row>
      </sheetData>
      <sheetData sheetId="4">
        <row r="30">
          <cell r="M30" t="str">
            <v>Y</v>
          </cell>
        </row>
        <row r="32">
          <cell r="M32" t="str">
            <v>Y</v>
          </cell>
        </row>
        <row r="34">
          <cell r="M34" t="str">
            <v>Y</v>
          </cell>
        </row>
        <row r="36">
          <cell r="M36" t="str">
            <v>Y</v>
          </cell>
        </row>
      </sheetData>
      <sheetData sheetId="5" refreshError="1"/>
      <sheetData sheetId="6" refreshError="1"/>
      <sheetData sheetId="7" refreshError="1"/>
      <sheetData sheetId="8" refreshError="1"/>
      <sheetData sheetId="9">
        <row r="54">
          <cell r="AM54" t="str">
            <v>N/A</v>
          </cell>
        </row>
        <row r="55">
          <cell r="O55" t="e">
            <v>#N/A</v>
          </cell>
          <cell r="P55">
            <v>0</v>
          </cell>
          <cell r="Q55" t="e">
            <v>#N/A</v>
          </cell>
        </row>
        <row r="58">
          <cell r="AM58" t="str">
            <v>N/A</v>
          </cell>
        </row>
      </sheetData>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Instructions"/>
      <sheetName val="1) Project Information"/>
      <sheetName val="2) Model Inputs"/>
      <sheetName val="3) Results"/>
      <sheetName val="Travel Time"/>
      <sheetName val="Vehicle Operating Costs"/>
      <sheetName val="Accident Costs"/>
      <sheetName val="Emissions"/>
      <sheetName val="Final Calculations"/>
      <sheetName val="PARAMETERS"/>
      <sheetName val="Module1"/>
    </sheetNames>
    <sheetDataSet>
      <sheetData sheetId="0"/>
      <sheetData sheetId="1"/>
      <sheetData sheetId="2">
        <row r="4">
          <cell r="E4" t="str">
            <v>Hypothetical Project</v>
          </cell>
        </row>
        <row r="12">
          <cell r="Q12">
            <v>7.0000000000000001E-3</v>
          </cell>
        </row>
        <row r="13">
          <cell r="Q13">
            <v>0.27</v>
          </cell>
        </row>
        <row r="14">
          <cell r="Q14">
            <v>0.53</v>
          </cell>
        </row>
        <row r="15">
          <cell r="F15">
            <v>2</v>
          </cell>
        </row>
        <row r="17">
          <cell r="F17">
            <v>5</v>
          </cell>
        </row>
        <row r="24">
          <cell r="G24" t="str">
            <v>F</v>
          </cell>
          <cell r="H24" t="str">
            <v>F</v>
          </cell>
        </row>
        <row r="28">
          <cell r="G28" t="str">
            <v>N</v>
          </cell>
        </row>
        <row r="30">
          <cell r="H30">
            <v>0</v>
          </cell>
          <cell r="P30">
            <v>0.41</v>
          </cell>
        </row>
        <row r="31">
          <cell r="G31">
            <v>35</v>
          </cell>
          <cell r="H31">
            <v>35</v>
          </cell>
          <cell r="Q31">
            <v>1</v>
          </cell>
        </row>
        <row r="32">
          <cell r="H32">
            <v>0</v>
          </cell>
        </row>
        <row r="33">
          <cell r="G33">
            <v>0</v>
          </cell>
          <cell r="H33">
            <v>0</v>
          </cell>
        </row>
        <row r="38">
          <cell r="G38">
            <v>0</v>
          </cell>
          <cell r="H38">
            <v>0</v>
          </cell>
        </row>
        <row r="39">
          <cell r="H39">
            <v>0</v>
          </cell>
        </row>
        <row r="40">
          <cell r="H40">
            <v>0</v>
          </cell>
        </row>
        <row r="41">
          <cell r="H41">
            <v>1</v>
          </cell>
        </row>
        <row r="42">
          <cell r="G42">
            <v>0</v>
          </cell>
          <cell r="H42">
            <v>0</v>
          </cell>
          <cell r="Q42">
            <v>0</v>
          </cell>
        </row>
        <row r="43">
          <cell r="G43">
            <v>0.09</v>
          </cell>
          <cell r="H43">
            <v>0.09</v>
          </cell>
          <cell r="Q43">
            <v>0</v>
          </cell>
        </row>
        <row r="44">
          <cell r="P44">
            <v>0</v>
          </cell>
          <cell r="Q44">
            <v>0</v>
          </cell>
        </row>
        <row r="45">
          <cell r="P45">
            <v>0</v>
          </cell>
          <cell r="Q45">
            <v>0</v>
          </cell>
        </row>
        <row r="47">
          <cell r="G47">
            <v>0</v>
          </cell>
          <cell r="H47">
            <v>0</v>
          </cell>
        </row>
        <row r="48">
          <cell r="P48">
            <v>0</v>
          </cell>
        </row>
        <row r="49">
          <cell r="P49">
            <v>0</v>
          </cell>
        </row>
        <row r="51">
          <cell r="G51">
            <v>0</v>
          </cell>
          <cell r="H51">
            <v>0</v>
          </cell>
        </row>
        <row r="52">
          <cell r="G52">
            <v>0</v>
          </cell>
          <cell r="H52">
            <v>0</v>
          </cell>
          <cell r="Q52">
            <v>0</v>
          </cell>
        </row>
        <row r="53">
          <cell r="Q53">
            <v>0</v>
          </cell>
        </row>
        <row r="56">
          <cell r="G56">
            <v>0</v>
          </cell>
          <cell r="H56">
            <v>0</v>
          </cell>
        </row>
        <row r="59">
          <cell r="G59">
            <v>1.3</v>
          </cell>
          <cell r="H59">
            <v>1.3</v>
          </cell>
        </row>
        <row r="60">
          <cell r="G60">
            <v>1.1499999999999999</v>
          </cell>
          <cell r="H60">
            <v>1.1499999999999999</v>
          </cell>
        </row>
        <row r="61">
          <cell r="G61">
            <v>2.15</v>
          </cell>
          <cell r="H61">
            <v>2.15</v>
          </cell>
        </row>
      </sheetData>
      <sheetData sheetId="3">
        <row r="7">
          <cell r="U7">
            <v>7.0000000000000001E-3</v>
          </cell>
        </row>
        <row r="8">
          <cell r="U8">
            <v>0.27</v>
          </cell>
        </row>
        <row r="9">
          <cell r="I9">
            <v>0</v>
          </cell>
          <cell r="U9">
            <v>0.53</v>
          </cell>
        </row>
        <row r="10">
          <cell r="I10">
            <v>0</v>
          </cell>
          <cell r="AG10">
            <v>0</v>
          </cell>
        </row>
        <row r="11">
          <cell r="I11">
            <v>0</v>
          </cell>
          <cell r="AG11">
            <v>0</v>
          </cell>
        </row>
        <row r="12">
          <cell r="I12">
            <v>0</v>
          </cell>
          <cell r="T12">
            <v>0</v>
          </cell>
        </row>
        <row r="13">
          <cell r="I13">
            <v>55</v>
          </cell>
        </row>
        <row r="14">
          <cell r="I14">
            <v>55</v>
          </cell>
          <cell r="AG14">
            <v>0</v>
          </cell>
        </row>
        <row r="15">
          <cell r="I15">
            <v>55</v>
          </cell>
          <cell r="AG15">
            <v>0</v>
          </cell>
        </row>
        <row r="16">
          <cell r="I16">
            <v>55</v>
          </cell>
        </row>
        <row r="19">
          <cell r="I19">
            <v>0</v>
          </cell>
        </row>
        <row r="20">
          <cell r="I20">
            <v>0</v>
          </cell>
          <cell r="U20">
            <v>7.0000000000000001E-3</v>
          </cell>
        </row>
        <row r="21">
          <cell r="I21">
            <v>0</v>
          </cell>
          <cell r="U21">
            <v>0.27</v>
          </cell>
        </row>
        <row r="22">
          <cell r="I22">
            <v>55</v>
          </cell>
          <cell r="U22">
            <v>0.53</v>
          </cell>
        </row>
        <row r="23">
          <cell r="I23">
            <v>55</v>
          </cell>
        </row>
        <row r="24">
          <cell r="I24">
            <v>55</v>
          </cell>
        </row>
        <row r="25">
          <cell r="AG25">
            <v>0</v>
          </cell>
        </row>
        <row r="26">
          <cell r="AG26">
            <v>0</v>
          </cell>
        </row>
        <row r="28">
          <cell r="I28">
            <v>0</v>
          </cell>
        </row>
        <row r="29">
          <cell r="I29">
            <v>0</v>
          </cell>
          <cell r="AG29">
            <v>0</v>
          </cell>
        </row>
        <row r="30">
          <cell r="I30">
            <v>0</v>
          </cell>
          <cell r="AG30">
            <v>0</v>
          </cell>
        </row>
        <row r="31">
          <cell r="I31">
            <v>0</v>
          </cell>
        </row>
        <row r="32">
          <cell r="I32">
            <v>55</v>
          </cell>
        </row>
        <row r="33">
          <cell r="I33">
            <v>55</v>
          </cell>
        </row>
        <row r="34">
          <cell r="I34">
            <v>55</v>
          </cell>
        </row>
        <row r="35">
          <cell r="I35">
            <v>55</v>
          </cell>
        </row>
        <row r="38">
          <cell r="I38">
            <v>0</v>
          </cell>
        </row>
        <row r="39">
          <cell r="I39">
            <v>0</v>
          </cell>
        </row>
        <row r="40">
          <cell r="I40">
            <v>0</v>
          </cell>
          <cell r="T40" t="str">
            <v>N</v>
          </cell>
        </row>
        <row r="41">
          <cell r="I41">
            <v>55</v>
          </cell>
        </row>
        <row r="42">
          <cell r="I42">
            <v>55</v>
          </cell>
        </row>
        <row r="43">
          <cell r="I43">
            <v>55</v>
          </cell>
        </row>
        <row r="49">
          <cell r="I49">
            <v>0</v>
          </cell>
        </row>
        <row r="50">
          <cell r="I50">
            <v>0</v>
          </cell>
        </row>
        <row r="51">
          <cell r="I51">
            <v>0</v>
          </cell>
          <cell r="U51">
            <v>0</v>
          </cell>
        </row>
        <row r="52">
          <cell r="I52">
            <v>0</v>
          </cell>
          <cell r="U52">
            <v>0</v>
          </cell>
        </row>
        <row r="53">
          <cell r="I53">
            <v>55</v>
          </cell>
          <cell r="U53">
            <v>5</v>
          </cell>
        </row>
        <row r="54">
          <cell r="I54">
            <v>55</v>
          </cell>
          <cell r="U54">
            <v>5</v>
          </cell>
        </row>
        <row r="55">
          <cell r="I55">
            <v>55</v>
          </cell>
        </row>
        <row r="56">
          <cell r="I56">
            <v>55</v>
          </cell>
        </row>
        <row r="57">
          <cell r="U57">
            <v>0</v>
          </cell>
        </row>
        <row r="58">
          <cell r="U58">
            <v>0</v>
          </cell>
        </row>
        <row r="59">
          <cell r="I59">
            <v>0</v>
          </cell>
          <cell r="U59">
            <v>5</v>
          </cell>
        </row>
        <row r="60">
          <cell r="I60">
            <v>0</v>
          </cell>
          <cell r="U60">
            <v>5</v>
          </cell>
        </row>
        <row r="61">
          <cell r="I61">
            <v>0</v>
          </cell>
        </row>
        <row r="62">
          <cell r="I62">
            <v>55</v>
          </cell>
        </row>
        <row r="63">
          <cell r="I63">
            <v>55</v>
          </cell>
        </row>
        <row r="64">
          <cell r="I64">
            <v>55</v>
          </cell>
        </row>
        <row r="65">
          <cell r="U65">
            <v>0</v>
          </cell>
        </row>
        <row r="66">
          <cell r="U66">
            <v>0</v>
          </cell>
        </row>
        <row r="67">
          <cell r="U67">
            <v>5</v>
          </cell>
        </row>
        <row r="68">
          <cell r="I68">
            <v>0</v>
          </cell>
          <cell r="U68">
            <v>5</v>
          </cell>
        </row>
        <row r="69">
          <cell r="I69">
            <v>0</v>
          </cell>
        </row>
        <row r="70">
          <cell r="I70">
            <v>0</v>
          </cell>
        </row>
        <row r="71">
          <cell r="I71">
            <v>0</v>
          </cell>
          <cell r="U71">
            <v>0</v>
          </cell>
        </row>
        <row r="72">
          <cell r="I72">
            <v>55</v>
          </cell>
          <cell r="U72">
            <v>0</v>
          </cell>
        </row>
        <row r="73">
          <cell r="I73">
            <v>55</v>
          </cell>
          <cell r="U73">
            <v>5</v>
          </cell>
        </row>
        <row r="74">
          <cell r="I74">
            <v>55</v>
          </cell>
          <cell r="U74">
            <v>5</v>
          </cell>
        </row>
        <row r="75">
          <cell r="I75">
            <v>55</v>
          </cell>
        </row>
        <row r="78">
          <cell r="I78">
            <v>0</v>
          </cell>
        </row>
        <row r="79">
          <cell r="I79">
            <v>0</v>
          </cell>
        </row>
        <row r="80">
          <cell r="I80">
            <v>0</v>
          </cell>
        </row>
        <row r="81">
          <cell r="I81">
            <v>55</v>
          </cell>
        </row>
        <row r="82">
          <cell r="I82">
            <v>55</v>
          </cell>
        </row>
        <row r="83">
          <cell r="I83">
            <v>55</v>
          </cell>
        </row>
      </sheetData>
      <sheetData sheetId="4">
        <row r="30">
          <cell r="M30" t="str">
            <v>Y</v>
          </cell>
        </row>
        <row r="32">
          <cell r="M32" t="str">
            <v>Y</v>
          </cell>
        </row>
        <row r="34">
          <cell r="M34" t="str">
            <v>Y</v>
          </cell>
        </row>
        <row r="36">
          <cell r="M36" t="str">
            <v>Y</v>
          </cell>
        </row>
      </sheetData>
      <sheetData sheetId="5"/>
      <sheetData sheetId="6"/>
      <sheetData sheetId="7"/>
      <sheetData sheetId="8"/>
      <sheetData sheetId="9">
        <row r="54">
          <cell r="AM54" t="str">
            <v>N/A</v>
          </cell>
        </row>
        <row r="55">
          <cell r="O55" t="e">
            <v>#N/A</v>
          </cell>
          <cell r="P55">
            <v>0</v>
          </cell>
          <cell r="Q55" t="e">
            <v>#N/A</v>
          </cell>
        </row>
        <row r="58">
          <cell r="AM58" t="str">
            <v>N/A</v>
          </cell>
        </row>
      </sheetData>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e Spreadsheet Tabs"/>
      <sheetName val="Benefit-Cost Analysis @3%"/>
      <sheetName val="Benefit-Cost Analysis @7%"/>
      <sheetName val="Costs Summary"/>
      <sheetName val="Benefits Summary"/>
      <sheetName val="Rates - Single"/>
      <sheetName val="Rates - Yearly"/>
      <sheetName val="State St. BCA"/>
      <sheetName val="Pavement and Noise "/>
      <sheetName val="VOC "/>
      <sheetName val="EmissRates(EPA)"/>
      <sheetName val="EmissRates(Cal-B C)"/>
      <sheetName val="KABCO-AIS Conv Matrix"/>
      <sheetName val="Fuel Prices ($ per gal)"/>
      <sheetName val="GXingDelay Redn Calcns"/>
      <sheetName val="TrainDelay Redn Calcns"/>
      <sheetName val="Emission Redn Calcns"/>
      <sheetName val="Trk-to-Rail DiverTraf Calcns"/>
      <sheetName val="Trk-to-Rail DiverTraf Assumps."/>
      <sheetName val="Rail Yard Data &amp; Demand Calcns"/>
      <sheetName val="CPI Factors"/>
      <sheetName val="Pier B Project Costs Data"/>
      <sheetName val="Other Projects Costs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iver-M"/>
      <sheetName val="Load-M"/>
      <sheetName val="MenuOps-M"/>
      <sheetName val="Utils-M"/>
      <sheetName val="WinMenu"/>
      <sheetName val="Splash"/>
      <sheetName val="Layout"/>
      <sheetName val="Status"/>
      <sheetName val="Defaults"/>
      <sheetName val="Inputs"/>
      <sheetName val="TravCalcs"/>
      <sheetName val="EmisCalcs"/>
      <sheetName val="Results"/>
      <sheetName val="ModeCht"/>
      <sheetName val="ScenarioEFs"/>
      <sheetName val="UserEFs"/>
    </sheetNames>
    <sheetDataSet>
      <sheetData sheetId="0" refreshError="1"/>
      <sheetData sheetId="1" refreshError="1"/>
      <sheetData sheetId="2" refreshError="1"/>
      <sheetData sheetId="3" refreshError="1"/>
      <sheetData sheetId="4" refreshError="1"/>
      <sheetData sheetId="5"/>
      <sheetData sheetId="6"/>
      <sheetData sheetId="7"/>
      <sheetData sheetId="8">
        <row r="95">
          <cell r="K95">
            <v>1.5</v>
          </cell>
        </row>
        <row r="103">
          <cell r="J103">
            <v>2</v>
          </cell>
          <cell r="K103">
            <v>0.28699999999999998</v>
          </cell>
        </row>
        <row r="104">
          <cell r="J104">
            <v>2.5</v>
          </cell>
          <cell r="K104">
            <v>0.192</v>
          </cell>
        </row>
        <row r="105">
          <cell r="J105">
            <v>3</v>
          </cell>
          <cell r="K105">
            <v>0.13900000000000001</v>
          </cell>
        </row>
        <row r="106">
          <cell r="J106">
            <v>3.5</v>
          </cell>
          <cell r="K106">
            <v>0.106</v>
          </cell>
        </row>
        <row r="107">
          <cell r="J107">
            <v>4</v>
          </cell>
          <cell r="K107">
            <v>8.5000000000000006E-2</v>
          </cell>
        </row>
        <row r="108">
          <cell r="J108">
            <v>4.5</v>
          </cell>
          <cell r="K108">
            <v>7.0999999999999994E-2</v>
          </cell>
        </row>
        <row r="109">
          <cell r="J109">
            <v>5</v>
          </cell>
          <cell r="K109">
            <v>0.06</v>
          </cell>
        </row>
        <row r="211">
          <cell r="AS211">
            <v>1</v>
          </cell>
          <cell r="AT211" t="str">
            <v>Large (over 2 million)</v>
          </cell>
        </row>
        <row r="212">
          <cell r="AS212">
            <v>2</v>
          </cell>
          <cell r="AT212" t="str">
            <v>Medium (750,000 to 2 million)</v>
          </cell>
        </row>
        <row r="213">
          <cell r="AS213">
            <v>3</v>
          </cell>
          <cell r="AT213" t="str">
            <v>Small (under 750,000)</v>
          </cell>
        </row>
        <row r="223">
          <cell r="AS223">
            <v>1</v>
          </cell>
          <cell r="AT223" t="str">
            <v>Area-Wide (e.g., MSA, county)</v>
          </cell>
        </row>
        <row r="224">
          <cell r="AS224">
            <v>2</v>
          </cell>
          <cell r="AT224" t="str">
            <v>Site or Employer-Based</v>
          </cell>
        </row>
      </sheetData>
      <sheetData sheetId="9">
        <row r="20">
          <cell r="I20" t="str">
            <v>Large-High.vme</v>
          </cell>
        </row>
        <row r="29">
          <cell r="I29">
            <v>1</v>
          </cell>
        </row>
        <row r="34">
          <cell r="I34">
            <v>1</v>
          </cell>
        </row>
        <row r="43">
          <cell r="I43">
            <v>1000</v>
          </cell>
        </row>
      </sheetData>
      <sheetData sheetId="10">
        <row r="49">
          <cell r="N49">
            <v>1288.8568292814202</v>
          </cell>
          <cell r="O49">
            <v>1284.8111771022213</v>
          </cell>
          <cell r="P49">
            <v>-4.0456521791988775</v>
          </cell>
          <cell r="S49">
            <v>16741.050806287432</v>
          </cell>
          <cell r="T49">
            <v>16691.854552837362</v>
          </cell>
          <cell r="U49">
            <v>-49.196253450070799</v>
          </cell>
        </row>
        <row r="55">
          <cell r="N55">
            <v>791.35809317879205</v>
          </cell>
          <cell r="O55">
            <v>788.87406274076386</v>
          </cell>
          <cell r="P55">
            <v>-2.4840304380281109</v>
          </cell>
          <cell r="S55">
            <v>10279.005195060483</v>
          </cell>
          <cell r="T55">
            <v>10248.798695442139</v>
          </cell>
          <cell r="U55">
            <v>-30.206499618343472</v>
          </cell>
        </row>
        <row r="56">
          <cell r="N56">
            <v>497.49873610262819</v>
          </cell>
          <cell r="O56">
            <v>495.93711436145747</v>
          </cell>
          <cell r="P56">
            <v>-1.5616217411707667</v>
          </cell>
          <cell r="S56">
            <v>6462.0456112269494</v>
          </cell>
          <cell r="T56">
            <v>6443.0558573952221</v>
          </cell>
          <cell r="U56">
            <v>-18.989753831727327</v>
          </cell>
        </row>
      </sheetData>
      <sheetData sheetId="11"/>
      <sheetData sheetId="12"/>
      <sheetData sheetId="13" refreshError="1"/>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_ATMS"/>
      <sheetName val="2.2_Signal Synchronization"/>
      <sheetName val="2.3a_Int - New Signal"/>
      <sheetName val="2.3b_Int - New Phase"/>
      <sheetName val="2.3c_Int - Capacity and Phase"/>
      <sheetName val="2.3d_Int - New Signal wTurn"/>
      <sheetName val="2.4_Roundabout"/>
      <sheetName val="3.1_Transit-TransitTech"/>
      <sheetName val="4.1_Bike-Ped-Transit"/>
      <sheetName val="4.2_Reg. Significant Bike-Ped"/>
      <sheetName val="4.3 Carpool-Vanpool"/>
      <sheetName val="2015ER"/>
      <sheetName val="2025ER"/>
      <sheetName val="OtherVariables"/>
      <sheetName val="Sources &amp; Com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2">
          <cell r="I12">
            <v>0</v>
          </cell>
          <cell r="J12" t="str">
            <v>Central Business District</v>
          </cell>
          <cell r="K12" t="str">
            <v>Central Business District Fringe</v>
          </cell>
          <cell r="L12" t="str">
            <v>Residential</v>
          </cell>
          <cell r="M12" t="str">
            <v>Suburb Central Business District</v>
          </cell>
          <cell r="N12" t="str">
            <v>Rural</v>
          </cell>
        </row>
        <row r="13">
          <cell r="I13">
            <v>0</v>
          </cell>
          <cell r="J13">
            <v>0</v>
          </cell>
          <cell r="K13">
            <v>0</v>
          </cell>
          <cell r="L13">
            <v>0</v>
          </cell>
          <cell r="M13">
            <v>0</v>
          </cell>
          <cell r="N13">
            <v>0</v>
          </cell>
        </row>
        <row r="14">
          <cell r="I14" t="str">
            <v>Expressway</v>
          </cell>
          <cell r="J14">
            <v>1700</v>
          </cell>
          <cell r="K14">
            <v>1700</v>
          </cell>
          <cell r="L14">
            <v>1700</v>
          </cell>
          <cell r="M14">
            <v>1900</v>
          </cell>
          <cell r="N14">
            <v>1800</v>
          </cell>
        </row>
        <row r="15">
          <cell r="I15" t="str">
            <v>Two-Way Arterial (Parking)</v>
          </cell>
          <cell r="J15">
            <v>1650</v>
          </cell>
          <cell r="K15">
            <v>1700</v>
          </cell>
          <cell r="L15">
            <v>1800</v>
          </cell>
          <cell r="M15">
            <v>1700</v>
          </cell>
          <cell r="N15">
            <v>1800</v>
          </cell>
        </row>
        <row r="16">
          <cell r="I16" t="str">
            <v>One-Way Arterial (Parking)</v>
          </cell>
          <cell r="J16">
            <v>1700</v>
          </cell>
          <cell r="K16">
            <v>1700</v>
          </cell>
          <cell r="L16">
            <v>1800</v>
          </cell>
          <cell r="M16">
            <v>1700</v>
          </cell>
          <cell r="N16">
            <v>1800</v>
          </cell>
        </row>
        <row r="17">
          <cell r="I17" t="str">
            <v>Two-Way Arterial (No Parking)</v>
          </cell>
          <cell r="J17">
            <v>1700</v>
          </cell>
          <cell r="K17">
            <v>1700</v>
          </cell>
          <cell r="L17">
            <v>1900</v>
          </cell>
          <cell r="M17">
            <v>1800</v>
          </cell>
          <cell r="N17">
            <v>1850</v>
          </cell>
        </row>
        <row r="18">
          <cell r="I18" t="str">
            <v>Collector</v>
          </cell>
          <cell r="J18">
            <v>1650</v>
          </cell>
          <cell r="K18">
            <v>1700</v>
          </cell>
          <cell r="L18">
            <v>1800</v>
          </cell>
          <cell r="M18">
            <v>1700</v>
          </cell>
          <cell r="N18">
            <v>1800</v>
          </cell>
        </row>
        <row r="19">
          <cell r="I19" t="str">
            <v>Off-Ramp</v>
          </cell>
          <cell r="J19">
            <v>1000</v>
          </cell>
          <cell r="K19">
            <v>1000</v>
          </cell>
          <cell r="L19">
            <v>1000</v>
          </cell>
          <cell r="M19">
            <v>1000</v>
          </cell>
          <cell r="N19">
            <v>1000</v>
          </cell>
        </row>
        <row r="20">
          <cell r="I20" t="str">
            <v>On-Ramp</v>
          </cell>
          <cell r="J20">
            <v>1500</v>
          </cell>
          <cell r="K20">
            <v>1500</v>
          </cell>
          <cell r="L20">
            <v>1500</v>
          </cell>
          <cell r="M20">
            <v>1500</v>
          </cell>
          <cell r="N20">
            <v>1500</v>
          </cell>
        </row>
      </sheetData>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nnel Capacity"/>
      <sheetName val="Notes"/>
    </sheetNames>
    <sheetDataSet>
      <sheetData sheetId="0">
        <row r="2">
          <cell r="C2">
            <v>8000</v>
          </cell>
        </row>
        <row r="3">
          <cell r="C3">
            <v>0.57999999999999996</v>
          </cell>
        </row>
        <row r="4">
          <cell r="C4">
            <v>0</v>
          </cell>
        </row>
        <row r="5">
          <cell r="C5">
            <v>63</v>
          </cell>
        </row>
        <row r="6">
          <cell r="C6">
            <v>36</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Employment stats"/>
      <sheetName val="research"/>
      <sheetName val="Moving Cooler unit impacts"/>
      <sheetName val="Telework"/>
      <sheetName val="Compressed Work Week"/>
      <sheetName val="OtherVariables"/>
    </sheetNames>
    <sheetDataSet>
      <sheetData sheetId="0"/>
      <sheetData sheetId="1" refreshError="1"/>
      <sheetData sheetId="2"/>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UserAssumptions"/>
      <sheetName val="Outputs"/>
      <sheetName val="Summary"/>
      <sheetName val="I-rateperdistance_unadj"/>
      <sheetName val="I-AgeDistribution"/>
      <sheetName val="I-VehicleWeights"/>
      <sheetName val="C-Motorcycles(1)"/>
      <sheetName val="C-PassCars(2)"/>
      <sheetName val="C-LightTrucks(31)"/>
      <sheetName val="C-LightTrucks(32)"/>
      <sheetName val="C-Buses(4)"/>
      <sheetName val="C-SingleUnitTrucks(5)"/>
      <sheetName val="C-CombTrucks(6)"/>
      <sheetName val="C-AdjFactors"/>
      <sheetName val="C-rateperdistance_adjusted"/>
    </sheetNames>
    <sheetDataSet>
      <sheetData sheetId="0"/>
      <sheetData sheetId="1">
        <row r="2">
          <cell r="C2" t="str">
            <v>Baseline</v>
          </cell>
        </row>
        <row r="3">
          <cell r="C3" t="str">
            <v>AltBaselineLDV</v>
          </cell>
        </row>
        <row r="4">
          <cell r="C4" t="str">
            <v>Custom 1</v>
          </cell>
        </row>
      </sheetData>
      <sheetData sheetId="2"/>
      <sheetData sheetId="3">
        <row r="10">
          <cell r="R10">
            <v>4.6129624845241045E-2</v>
          </cell>
        </row>
      </sheetData>
      <sheetData sheetId="4"/>
      <sheetData sheetId="5"/>
      <sheetData sheetId="6"/>
      <sheetData sheetId="7"/>
      <sheetData sheetId="8"/>
      <sheetData sheetId="9"/>
      <sheetData sheetId="10"/>
      <sheetData sheetId="11"/>
      <sheetData sheetId="12"/>
      <sheetData sheetId="13"/>
      <sheetData sheetId="14"/>
      <sheetData sheetId="15">
        <row r="10">
          <cell r="R10">
            <v>4.6129624845241045E-2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5.bin"/><Relationship Id="rId1" Type="http://schemas.openxmlformats.org/officeDocument/2006/relationships/hyperlink" Target="http://atri-online.org/2016/09/26/an-analysis-of-the-operational-costs-of-trucking-2016-update/"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9.bin"/><Relationship Id="rId1" Type="http://schemas.openxmlformats.org/officeDocument/2006/relationships/hyperlink" Target="http://www.fhwa.dot.gov/policy/hcas/final/five.cfm"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eia.gov/forecasts/steo/"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data.bls.gov/pdq/SurveyOutputServle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39997558519241921"/>
  </sheetPr>
  <dimension ref="B2:B35"/>
  <sheetViews>
    <sheetView workbookViewId="0">
      <selection activeCell="B19" sqref="B19"/>
    </sheetView>
  </sheetViews>
  <sheetFormatPr defaultColWidth="9.109375" defaultRowHeight="13.2" x14ac:dyDescent="0.3"/>
  <cols>
    <col min="1" max="1" width="6.44140625" style="41" customWidth="1"/>
    <col min="2" max="2" width="132" style="41" bestFit="1" customWidth="1"/>
    <col min="3" max="3" width="8.5546875" style="41" customWidth="1"/>
    <col min="4" max="16384" width="9.109375" style="41"/>
  </cols>
  <sheetData>
    <row r="2" spans="2:2" ht="26.25" x14ac:dyDescent="0.25">
      <c r="B2" s="897" t="s">
        <v>65</v>
      </c>
    </row>
    <row r="3" spans="2:2" ht="26.25" x14ac:dyDescent="0.25">
      <c r="B3" s="898" t="s">
        <v>658</v>
      </c>
    </row>
    <row r="4" spans="2:2" ht="12.75" x14ac:dyDescent="0.25">
      <c r="B4" s="61"/>
    </row>
    <row r="5" spans="2:2" ht="13.5" thickBot="1" x14ac:dyDescent="0.3">
      <c r="B5" s="61"/>
    </row>
    <row r="6" spans="2:2" ht="13.5" thickBot="1" x14ac:dyDescent="0.3">
      <c r="B6" s="125" t="s">
        <v>47</v>
      </c>
    </row>
    <row r="7" spans="2:2" s="115" customFormat="1" ht="39" thickBot="1" x14ac:dyDescent="0.3">
      <c r="B7" s="126" t="s">
        <v>35</v>
      </c>
    </row>
    <row r="8" spans="2:2" s="115" customFormat="1" ht="13.5" thickBot="1" x14ac:dyDescent="0.3"/>
    <row r="9" spans="2:2" s="115" customFormat="1" ht="13.5" thickBot="1" x14ac:dyDescent="0.3">
      <c r="B9" s="127" t="s">
        <v>40</v>
      </c>
    </row>
    <row r="10" spans="2:2" s="115" customFormat="1" ht="38.25" x14ac:dyDescent="0.25">
      <c r="B10" s="116" t="s">
        <v>36</v>
      </c>
    </row>
    <row r="11" spans="2:2" s="115" customFormat="1" ht="12.75" x14ac:dyDescent="0.25">
      <c r="B11" s="117" t="s">
        <v>386</v>
      </c>
    </row>
    <row r="12" spans="2:2" s="115" customFormat="1" ht="12.75" x14ac:dyDescent="0.25">
      <c r="B12" s="117" t="s">
        <v>387</v>
      </c>
    </row>
    <row r="13" spans="2:2" s="115" customFormat="1" ht="13.5" thickBot="1" x14ac:dyDescent="0.3">
      <c r="B13" s="118" t="s">
        <v>388</v>
      </c>
    </row>
    <row r="14" spans="2:2" s="115" customFormat="1" ht="13.5" thickBot="1" x14ac:dyDescent="0.3"/>
    <row r="15" spans="2:2" s="115" customFormat="1" ht="13.5" thickBot="1" x14ac:dyDescent="0.3">
      <c r="B15" s="128" t="s">
        <v>37</v>
      </c>
    </row>
    <row r="16" spans="2:2" s="115" customFormat="1" ht="13.5" thickBot="1" x14ac:dyDescent="0.3">
      <c r="B16" s="119" t="s">
        <v>67</v>
      </c>
    </row>
    <row r="17" spans="2:2" s="115" customFormat="1" ht="13.5" thickBot="1" x14ac:dyDescent="0.3">
      <c r="B17" s="120"/>
    </row>
    <row r="18" spans="2:2" s="115" customFormat="1" ht="13.5" thickBot="1" x14ac:dyDescent="0.3">
      <c r="B18" s="127" t="s">
        <v>531</v>
      </c>
    </row>
    <row r="19" spans="2:2" s="115" customFormat="1" ht="26.25" thickBot="1" x14ac:dyDescent="0.3">
      <c r="B19" s="121" t="s">
        <v>38</v>
      </c>
    </row>
    <row r="20" spans="2:2" s="115" customFormat="1" ht="13.5" thickBot="1" x14ac:dyDescent="0.3">
      <c r="B20" s="120"/>
    </row>
    <row r="21" spans="2:2" s="115" customFormat="1" ht="13.5" thickBot="1" x14ac:dyDescent="0.3">
      <c r="B21" s="129" t="s">
        <v>39</v>
      </c>
    </row>
    <row r="22" spans="2:2" s="115" customFormat="1" ht="25.5" x14ac:dyDescent="0.25">
      <c r="B22" s="122" t="s">
        <v>389</v>
      </c>
    </row>
    <row r="23" spans="2:2" s="115" customFormat="1" ht="25.5" x14ac:dyDescent="0.25">
      <c r="B23" s="123" t="s">
        <v>702</v>
      </c>
    </row>
    <row r="24" spans="2:2" s="115" customFormat="1" ht="26.25" thickBot="1" x14ac:dyDescent="0.3">
      <c r="B24" s="124" t="s">
        <v>390</v>
      </c>
    </row>
    <row r="25" spans="2:2" s="115" customFormat="1" ht="13.5" thickBot="1" x14ac:dyDescent="0.3">
      <c r="B25" s="120"/>
    </row>
    <row r="26" spans="2:2" s="115" customFormat="1" ht="13.5" thickBot="1" x14ac:dyDescent="0.3">
      <c r="B26" s="127" t="s">
        <v>26</v>
      </c>
    </row>
    <row r="27" spans="2:2" s="115" customFormat="1" ht="25.5" x14ac:dyDescent="0.25">
      <c r="B27" s="116" t="s">
        <v>391</v>
      </c>
    </row>
    <row r="28" spans="2:2" s="115" customFormat="1" ht="12.75" x14ac:dyDescent="0.25">
      <c r="B28" s="117" t="s">
        <v>41</v>
      </c>
    </row>
    <row r="29" spans="2:2" s="115" customFormat="1" ht="12.75" x14ac:dyDescent="0.25">
      <c r="B29" s="117" t="s">
        <v>42</v>
      </c>
    </row>
    <row r="30" spans="2:2" s="115" customFormat="1" x14ac:dyDescent="0.3">
      <c r="B30" s="117" t="s">
        <v>43</v>
      </c>
    </row>
    <row r="31" spans="2:2" s="115" customFormat="1" x14ac:dyDescent="0.3">
      <c r="B31" s="117" t="s">
        <v>392</v>
      </c>
    </row>
    <row r="32" spans="2:2" s="115" customFormat="1" x14ac:dyDescent="0.3">
      <c r="B32" s="117" t="s">
        <v>393</v>
      </c>
    </row>
    <row r="33" spans="2:2" s="115" customFormat="1" ht="13.8" thickBot="1" x14ac:dyDescent="0.35">
      <c r="B33" s="118" t="s">
        <v>44</v>
      </c>
    </row>
    <row r="34" spans="2:2" s="115" customFormat="1" x14ac:dyDescent="0.3"/>
    <row r="35" spans="2:2" s="115" customFormat="1" x14ac:dyDescent="0.3"/>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Y581"/>
  <sheetViews>
    <sheetView topLeftCell="A340" zoomScale="55" zoomScaleNormal="55" workbookViewId="0"/>
  </sheetViews>
  <sheetFormatPr defaultColWidth="9.109375" defaultRowHeight="13.8" x14ac:dyDescent="0.3"/>
  <cols>
    <col min="1" max="1" width="5.109375" style="1064" customWidth="1"/>
    <col min="2" max="2" width="40" style="587" customWidth="1"/>
    <col min="3" max="3" width="16.88671875" style="1066" customWidth="1"/>
    <col min="4" max="4" width="12.6640625" style="587" customWidth="1"/>
    <col min="5" max="5" width="12.33203125" style="587" customWidth="1"/>
    <col min="6" max="6" width="21.6640625" style="587" customWidth="1"/>
    <col min="7" max="7" width="15.6640625" style="587" customWidth="1"/>
    <col min="8" max="8" width="16" style="587" customWidth="1"/>
    <col min="9" max="9" width="19.44140625" style="587" customWidth="1"/>
    <col min="10" max="10" width="17.33203125" style="587" customWidth="1"/>
    <col min="11" max="11" width="13.88671875" style="587" customWidth="1"/>
    <col min="12" max="12" width="17.44140625" style="587" bestFit="1" customWidth="1"/>
    <col min="13" max="13" width="16.6640625" style="587" customWidth="1"/>
    <col min="14" max="15" width="14.88671875" style="587" customWidth="1"/>
    <col min="16" max="16" width="15.88671875" style="587" customWidth="1"/>
    <col min="17" max="17" width="14.88671875" style="587" customWidth="1"/>
    <col min="18" max="18" width="15.88671875" style="587" customWidth="1"/>
    <col min="19" max="19" width="14.109375" style="587" customWidth="1"/>
    <col min="20" max="20" width="17" style="587" customWidth="1"/>
    <col min="21" max="21" width="14.5546875" style="587" customWidth="1"/>
    <col min="22" max="22" width="18.44140625" style="587" customWidth="1"/>
    <col min="23" max="23" width="19" style="587" customWidth="1"/>
    <col min="24" max="24" width="17.88671875" style="587" customWidth="1"/>
    <col min="25" max="25" width="20.6640625" style="1066" customWidth="1"/>
    <col min="26" max="26" width="16.109375" style="1066" customWidth="1"/>
    <col min="27" max="27" width="8.44140625" style="1066" customWidth="1"/>
    <col min="28" max="28" width="16.109375" style="1066" customWidth="1"/>
    <col min="29" max="29" width="16.44140625" style="1066" customWidth="1"/>
    <col min="30" max="30" width="17.6640625" style="1066" customWidth="1"/>
    <col min="31" max="32" width="12.6640625" style="1066" customWidth="1"/>
    <col min="33" max="33" width="5.6640625" style="1066" customWidth="1"/>
    <col min="34" max="34" width="10.5546875" style="1066" customWidth="1"/>
    <col min="35" max="35" width="11" style="1066" customWidth="1"/>
    <col min="36" max="36" width="15.33203125" style="1066" customWidth="1"/>
    <col min="37" max="38" width="15.88671875" style="1066" customWidth="1"/>
    <col min="39" max="39" width="15" style="1066" customWidth="1"/>
    <col min="40" max="40" width="9.109375" style="1066"/>
    <col min="41" max="16384" width="9.109375" style="587"/>
  </cols>
  <sheetData>
    <row r="1" spans="2:26" ht="14.25" x14ac:dyDescent="0.25">
      <c r="B1" s="1066"/>
      <c r="D1" s="1066"/>
      <c r="E1" s="1066"/>
      <c r="F1" s="1066"/>
      <c r="G1" s="1066"/>
      <c r="H1" s="1066"/>
      <c r="I1" s="1066"/>
      <c r="J1" s="1066"/>
      <c r="K1" s="1066"/>
      <c r="L1" s="1066"/>
      <c r="M1" s="1066"/>
      <c r="N1" s="1066"/>
      <c r="O1" s="1066"/>
      <c r="P1" s="1066"/>
      <c r="Q1" s="1066"/>
      <c r="R1" s="1066"/>
      <c r="S1" s="1066"/>
      <c r="T1" s="1066"/>
      <c r="U1" s="1066"/>
      <c r="V1" s="1066"/>
      <c r="W1" s="1066"/>
      <c r="X1" s="1066"/>
    </row>
    <row r="2" spans="2:26" ht="20.25" x14ac:dyDescent="0.25">
      <c r="B2" s="948" t="s">
        <v>713</v>
      </c>
      <c r="C2" s="716"/>
      <c r="D2" s="1066"/>
      <c r="E2" s="1066"/>
      <c r="F2" s="1066"/>
      <c r="G2" s="1066"/>
      <c r="H2" s="1066"/>
      <c r="I2" s="1066"/>
      <c r="J2" s="1066"/>
      <c r="K2" s="1066"/>
      <c r="L2" s="1066"/>
      <c r="M2" s="1066"/>
      <c r="N2" s="1066"/>
      <c r="O2" s="1066"/>
      <c r="P2" s="1066"/>
      <c r="Q2" s="1066"/>
      <c r="R2" s="1066"/>
      <c r="S2" s="1066"/>
      <c r="T2" s="1066"/>
      <c r="U2" s="1066"/>
      <c r="V2" s="1066"/>
      <c r="W2" s="1066"/>
      <c r="X2" s="1066"/>
    </row>
    <row r="3" spans="2:26" ht="20.25" x14ac:dyDescent="0.25">
      <c r="B3" s="948" t="s">
        <v>715</v>
      </c>
      <c r="D3" s="1066"/>
      <c r="E3" s="1066"/>
      <c r="F3" s="1066"/>
      <c r="G3" s="1066"/>
      <c r="H3" s="1066"/>
      <c r="I3" s="1066"/>
      <c r="J3" s="1066"/>
      <c r="K3" s="1066"/>
      <c r="L3" s="1066"/>
      <c r="M3" s="1066"/>
      <c r="N3" s="1066"/>
      <c r="O3" s="1066"/>
      <c r="P3" s="1066"/>
      <c r="Q3" s="1066"/>
      <c r="R3" s="1066"/>
      <c r="S3" s="1066"/>
      <c r="T3" s="1066"/>
      <c r="U3" s="1066"/>
      <c r="V3" s="1066"/>
      <c r="W3" s="1066"/>
      <c r="X3" s="1066"/>
    </row>
    <row r="4" spans="2:26" ht="14.25" x14ac:dyDescent="0.25">
      <c r="B4" s="1066"/>
      <c r="D4" s="1067"/>
      <c r="E4" s="1067"/>
      <c r="F4" s="1067"/>
      <c r="G4" s="1067"/>
      <c r="H4" s="1067"/>
      <c r="I4" s="1067"/>
      <c r="J4" s="1067"/>
      <c r="K4" s="1067"/>
      <c r="L4" s="1067"/>
      <c r="M4" s="1067"/>
      <c r="N4" s="1067"/>
      <c r="O4" s="1067"/>
      <c r="P4" s="1067"/>
      <c r="Q4" s="1067"/>
      <c r="R4" s="1067"/>
      <c r="S4" s="1067"/>
      <c r="T4" s="1067"/>
      <c r="U4" s="1067"/>
      <c r="V4" s="1067"/>
      <c r="W4" s="1067"/>
      <c r="X4" s="1067"/>
    </row>
    <row r="5" spans="2:26" ht="24" thickBot="1" x14ac:dyDescent="0.3">
      <c r="B5" s="1066"/>
      <c r="D5" s="1844" t="s">
        <v>492</v>
      </c>
      <c r="E5" s="1844"/>
      <c r="F5" s="1844"/>
      <c r="G5" s="1844"/>
      <c r="H5" s="1844"/>
      <c r="I5" s="1844"/>
      <c r="J5" s="1844"/>
      <c r="K5" s="1844"/>
      <c r="L5" s="1844"/>
      <c r="M5" s="1844"/>
      <c r="N5" s="1844"/>
      <c r="O5" s="1844"/>
      <c r="P5" s="1844"/>
      <c r="Q5" s="1844"/>
      <c r="R5" s="1844"/>
      <c r="S5" s="1844"/>
      <c r="T5" s="1844"/>
      <c r="U5" s="1844"/>
      <c r="V5" s="1844"/>
      <c r="W5" s="1844"/>
      <c r="X5" s="1844"/>
    </row>
    <row r="6" spans="2:26" ht="15" thickBot="1" x14ac:dyDescent="0.3">
      <c r="B6" s="702"/>
      <c r="C6" s="1069"/>
      <c r="D6" s="712">
        <v>2023</v>
      </c>
      <c r="E6" s="417">
        <f>D6+1</f>
        <v>2024</v>
      </c>
      <c r="F6" s="417">
        <f t="shared" ref="F6:X6" si="0">E6+1</f>
        <v>2025</v>
      </c>
      <c r="G6" s="417">
        <f t="shared" si="0"/>
        <v>2026</v>
      </c>
      <c r="H6" s="417">
        <f t="shared" si="0"/>
        <v>2027</v>
      </c>
      <c r="I6" s="417">
        <f t="shared" si="0"/>
        <v>2028</v>
      </c>
      <c r="J6" s="417">
        <f t="shared" si="0"/>
        <v>2029</v>
      </c>
      <c r="K6" s="417">
        <f t="shared" si="0"/>
        <v>2030</v>
      </c>
      <c r="L6" s="417">
        <f t="shared" si="0"/>
        <v>2031</v>
      </c>
      <c r="M6" s="417">
        <f t="shared" si="0"/>
        <v>2032</v>
      </c>
      <c r="N6" s="417">
        <f t="shared" si="0"/>
        <v>2033</v>
      </c>
      <c r="O6" s="417">
        <f t="shared" si="0"/>
        <v>2034</v>
      </c>
      <c r="P6" s="417">
        <f t="shared" si="0"/>
        <v>2035</v>
      </c>
      <c r="Q6" s="417">
        <f t="shared" si="0"/>
        <v>2036</v>
      </c>
      <c r="R6" s="417">
        <f t="shared" si="0"/>
        <v>2037</v>
      </c>
      <c r="S6" s="417">
        <f t="shared" si="0"/>
        <v>2038</v>
      </c>
      <c r="T6" s="417">
        <f t="shared" si="0"/>
        <v>2039</v>
      </c>
      <c r="U6" s="417">
        <f t="shared" si="0"/>
        <v>2040</v>
      </c>
      <c r="V6" s="417">
        <f t="shared" si="0"/>
        <v>2041</v>
      </c>
      <c r="W6" s="417">
        <f t="shared" si="0"/>
        <v>2042</v>
      </c>
      <c r="X6" s="713">
        <f t="shared" si="0"/>
        <v>2043</v>
      </c>
      <c r="Y6" s="1069"/>
    </row>
    <row r="7" spans="2:26" ht="20.25" x14ac:dyDescent="0.25">
      <c r="B7" s="1070" t="s">
        <v>460</v>
      </c>
      <c r="C7" s="1071"/>
      <c r="D7" s="1079">
        <f>'Build.vs.No-Build'!F4</f>
        <v>328208471.54129839</v>
      </c>
      <c r="E7" s="1079">
        <f>'Build.vs.No-Build'!G4</f>
        <v>330966672.25379324</v>
      </c>
      <c r="F7" s="1079">
        <f>'Build.vs.No-Build'!H4</f>
        <v>333748052.35326332</v>
      </c>
      <c r="G7" s="1079">
        <f>'Build.vs.No-Build'!I4</f>
        <v>336552806.63480759</v>
      </c>
      <c r="H7" s="1079">
        <f>'Build.vs.No-Build'!J4</f>
        <v>339381131.53054529</v>
      </c>
      <c r="I7" s="1079">
        <f>'Build.vs.No-Build'!K4</f>
        <v>342233225.12337345</v>
      </c>
      <c r="J7" s="1079">
        <f>'Build.vs.No-Build'!L4</f>
        <v>345109287.16083956</v>
      </c>
      <c r="K7" s="1079">
        <f>'Build.vs.No-Build'!M4</f>
        <v>348009519.06913096</v>
      </c>
      <c r="L7" s="1079">
        <f>'Build.vs.No-Build'!N4</f>
        <v>350934123.96718186</v>
      </c>
      <c r="M7" s="1079">
        <f>'Build.vs.No-Build'!O4</f>
        <v>353883306.68089879</v>
      </c>
      <c r="N7" s="1079">
        <f>'Build.vs.No-Build'!P4</f>
        <v>356857273.75750566</v>
      </c>
      <c r="O7" s="1079">
        <f>'Build.vs.No-Build'!Q4</f>
        <v>359856233.48000956</v>
      </c>
      <c r="P7" s="1079">
        <f>'Build.vs.No-Build'!R4</f>
        <v>362880395.88178772</v>
      </c>
      <c r="Q7" s="1079">
        <f>'Build.vs.No-Build'!S4</f>
        <v>365929972.76129746</v>
      </c>
      <c r="R7" s="1079">
        <f>'Build.vs.No-Build'!T4</f>
        <v>369005177.69690943</v>
      </c>
      <c r="S7" s="1079">
        <f>'Build.vs.No-Build'!U4</f>
        <v>372106226.06186557</v>
      </c>
      <c r="T7" s="1079">
        <f>'Build.vs.No-Build'!V4</f>
        <v>375233335.03936327</v>
      </c>
      <c r="U7" s="1079">
        <f>'Build.vs.No-Build'!W4</f>
        <v>378386723.63776565</v>
      </c>
      <c r="V7" s="1079">
        <f>'Build.vs.No-Build'!X4</f>
        <v>381566612.70593965</v>
      </c>
      <c r="W7" s="1079">
        <f>'Build.vs.No-Build'!Y4</f>
        <v>384773224.94872373</v>
      </c>
      <c r="X7" s="1079">
        <f>'Build.vs.No-Build'!Z4</f>
        <v>388006784.94252479</v>
      </c>
      <c r="Y7" s="1075">
        <f>SUM(D7:X7)</f>
        <v>7503628557.2288237</v>
      </c>
    </row>
    <row r="8" spans="2:26" ht="20.25" x14ac:dyDescent="0.25">
      <c r="B8" s="1076" t="s">
        <v>461</v>
      </c>
      <c r="C8" s="1077"/>
      <c r="D8" s="1079">
        <f>'Build.vs.No-Build'!F5</f>
        <v>177812159.16264874</v>
      </c>
      <c r="E8" s="1079">
        <f>'Build.vs.No-Build'!G5</f>
        <v>177951687.01386541</v>
      </c>
      <c r="F8" s="1079">
        <f>'Build.vs.No-Build'!H5</f>
        <v>178091324.35152757</v>
      </c>
      <c r="G8" s="1079">
        <f>'Build.vs.No-Build'!I5</f>
        <v>178231071.26154837</v>
      </c>
      <c r="H8" s="1079">
        <f>'Build.vs.No-Build'!J5</f>
        <v>178370927.82990837</v>
      </c>
      <c r="I8" s="1079">
        <f>'Build.vs.No-Build'!K5</f>
        <v>178510894.1426557</v>
      </c>
      <c r="J8" s="1079">
        <f>'Build.vs.No-Build'!L5</f>
        <v>178650970.28590593</v>
      </c>
      <c r="K8" s="1079">
        <f>'Build.vs.No-Build'!M5</f>
        <v>178791156.34584215</v>
      </c>
      <c r="L8" s="1079">
        <f>'Build.vs.No-Build'!N5</f>
        <v>178931452.40871525</v>
      </c>
      <c r="M8" s="1079">
        <f>'Build.vs.No-Build'!O5</f>
        <v>179071858.56084365</v>
      </c>
      <c r="N8" s="1079">
        <f>'Build.vs.No-Build'!P5</f>
        <v>179212374.88861361</v>
      </c>
      <c r="O8" s="1079">
        <f>'Build.vs.No-Build'!Q5</f>
        <v>179353001.47847897</v>
      </c>
      <c r="P8" s="1079">
        <f>'Build.vs.No-Build'!R5</f>
        <v>179493738.4169617</v>
      </c>
      <c r="Q8" s="1079">
        <f>'Build.vs.No-Build'!S5</f>
        <v>179634585.79065153</v>
      </c>
      <c r="R8" s="1079">
        <f>'Build.vs.No-Build'!T5</f>
        <v>179775543.68620604</v>
      </c>
      <c r="S8" s="1079">
        <f>'Build.vs.No-Build'!U5</f>
        <v>179916612.19035089</v>
      </c>
      <c r="T8" s="1079">
        <f>'Build.vs.No-Build'!V5</f>
        <v>180057791.38987991</v>
      </c>
      <c r="U8" s="1079">
        <f>'Build.vs.No-Build'!W5</f>
        <v>180199081.37165487</v>
      </c>
      <c r="V8" s="1079">
        <f>'Build.vs.No-Build'!X5</f>
        <v>180340482.22260574</v>
      </c>
      <c r="W8" s="1079">
        <f>'Build.vs.No-Build'!Y5</f>
        <v>180481994.02973074</v>
      </c>
      <c r="X8" s="1079">
        <f>'Build.vs.No-Build'!Z5</f>
        <v>180623616.88009629</v>
      </c>
      <c r="Y8" s="1075">
        <f>SUM(D8:X8)</f>
        <v>3763502323.7086916</v>
      </c>
    </row>
    <row r="9" spans="2:26" ht="40.5" x14ac:dyDescent="0.25">
      <c r="B9" s="1076" t="s">
        <v>462</v>
      </c>
      <c r="C9" s="1077"/>
      <c r="D9" s="1079">
        <f>'Build.vs.No-Build'!F6</f>
        <v>108020089.30769104</v>
      </c>
      <c r="E9" s="1079">
        <f>'Build.vs.No-Build'!G6</f>
        <v>108917038.63514632</v>
      </c>
      <c r="F9" s="1079">
        <f>'Build.vs.No-Build'!H6</f>
        <v>109821435.81883998</v>
      </c>
      <c r="G9" s="1079">
        <f>'Build.vs.No-Build'!I6</f>
        <v>110733342.70235769</v>
      </c>
      <c r="H9" s="1079">
        <f>'Build.vs.No-Build'!J6</f>
        <v>111652821.6428059</v>
      </c>
      <c r="I9" s="1079">
        <f>'Build.vs.No-Build'!K6</f>
        <v>112579935.51507585</v>
      </c>
      <c r="J9" s="1079">
        <f>'Build.vs.No-Build'!L6</f>
        <v>113514747.7161431</v>
      </c>
      <c r="K9" s="1079">
        <f>'Build.vs.No-Build'!M6</f>
        <v>114457322.1694027</v>
      </c>
      <c r="L9" s="1079">
        <f>'Build.vs.No-Build'!N6</f>
        <v>115407723.32904024</v>
      </c>
      <c r="M9" s="1079">
        <f>'Build.vs.No-Build'!O6</f>
        <v>116366016.18443927</v>
      </c>
      <c r="N9" s="1079">
        <f>'Build.vs.No-Build'!P6</f>
        <v>117332266.26462553</v>
      </c>
      <c r="O9" s="1079">
        <f>'Build.vs.No-Build'!Q6</f>
        <v>118306539.64274769</v>
      </c>
      <c r="P9" s="1079">
        <f>'Build.vs.No-Build'!R6</f>
        <v>119288902.94059554</v>
      </c>
      <c r="Q9" s="1079">
        <f>'Build.vs.No-Build'!S6</f>
        <v>120279423.33315578</v>
      </c>
      <c r="R9" s="1079">
        <f>'Build.vs.No-Build'!T6</f>
        <v>121278168.55320533</v>
      </c>
      <c r="S9" s="1079">
        <f>'Build.vs.No-Build'!U6</f>
        <v>122285206.89594311</v>
      </c>
      <c r="T9" s="1079">
        <f>'Build.vs.No-Build'!V6</f>
        <v>123300607.22366008</v>
      </c>
      <c r="U9" s="1079">
        <f>'Build.vs.No-Build'!W6</f>
        <v>124324438.97044809</v>
      </c>
      <c r="V9" s="1079">
        <f>'Build.vs.No-Build'!X6</f>
        <v>125356772.14694786</v>
      </c>
      <c r="W9" s="1079">
        <f>'Build.vs.No-Build'!Y6</f>
        <v>126397677.34513642</v>
      </c>
      <c r="X9" s="1079">
        <f>'Build.vs.No-Build'!Z6</f>
        <v>127447225.74315426</v>
      </c>
      <c r="Y9" s="1075">
        <f>SUM(D9:X9)</f>
        <v>2467067702.0805621</v>
      </c>
      <c r="Z9" s="1067"/>
    </row>
    <row r="10" spans="2:26" ht="20.25" x14ac:dyDescent="0.3">
      <c r="B10" s="1081" t="s">
        <v>463</v>
      </c>
      <c r="C10" s="1082"/>
      <c r="D10" s="1079">
        <f>'Build.vs.No-Build'!F7</f>
        <v>47512403.086307317</v>
      </c>
      <c r="E10" s="1079">
        <f>'Build.vs.No-Build'!G7</f>
        <v>47823729.657975234</v>
      </c>
      <c r="F10" s="1079">
        <f>'Build.vs.No-Build'!H7</f>
        <v>48137096.207163334</v>
      </c>
      <c r="G10" s="1079">
        <f>'Build.vs.No-Build'!I7</f>
        <v>48452516.100890905</v>
      </c>
      <c r="H10" s="1079">
        <f>'Build.vs.No-Build'!J7</f>
        <v>48770002.793765053</v>
      </c>
      <c r="I10" s="1079">
        <f>'Build.vs.No-Build'!K7</f>
        <v>49089569.8285546</v>
      </c>
      <c r="J10" s="1079">
        <f>'Build.vs.No-Build'!L7</f>
        <v>49411230.836767867</v>
      </c>
      <c r="K10" s="1079">
        <f>'Build.vs.No-Build'!M7</f>
        <v>49734999.539234027</v>
      </c>
      <c r="L10" s="1079">
        <f>'Build.vs.No-Build'!N7</f>
        <v>50060889.746688448</v>
      </c>
      <c r="M10" s="1079">
        <f>'Build.vs.No-Build'!O7</f>
        <v>50388915.360361814</v>
      </c>
      <c r="N10" s="1079">
        <f>'Build.vs.No-Build'!P7</f>
        <v>50719090.37257304</v>
      </c>
      <c r="O10" s="1079">
        <f>'Build.vs.No-Build'!Q7</f>
        <v>51051428.867326185</v>
      </c>
      <c r="P10" s="1079">
        <f>'Build.vs.No-Build'!R7</f>
        <v>51385945.020911202</v>
      </c>
      <c r="Q10" s="1079">
        <f>'Build.vs.No-Build'!S7</f>
        <v>51722653.102508679</v>
      </c>
      <c r="R10" s="1079">
        <f>'Build.vs.No-Build'!T7</f>
        <v>52061567.474798411</v>
      </c>
      <c r="S10" s="1079">
        <f>'Build.vs.No-Build'!U7</f>
        <v>52402702.594572172</v>
      </c>
      <c r="T10" s="1079">
        <f>'Build.vs.No-Build'!V7</f>
        <v>52746073.013350315</v>
      </c>
      <c r="U10" s="1079">
        <f>'Build.vs.No-Build'!W7</f>
        <v>53091693.378002509</v>
      </c>
      <c r="V10" s="1079">
        <f>'Build.vs.No-Build'!X7</f>
        <v>53439578.431372523</v>
      </c>
      <c r="W10" s="1079">
        <f>'Build.vs.No-Build'!Y7</f>
        <v>53789743.012907073</v>
      </c>
      <c r="X10" s="1079">
        <f>'Build.vs.No-Build'!Z7</f>
        <v>54142202.059288852</v>
      </c>
      <c r="Y10" s="1075">
        <f>SUM(D10:X10)</f>
        <v>1065934030.4853195</v>
      </c>
    </row>
    <row r="11" spans="2:26" ht="20.25" x14ac:dyDescent="0.3">
      <c r="B11" s="1081" t="s">
        <v>464</v>
      </c>
      <c r="C11" s="1082"/>
      <c r="D11" s="1079">
        <f>'Build.vs.No-Build'!F8</f>
        <v>661553123.09794545</v>
      </c>
      <c r="E11" s="1079">
        <f>'Build.vs.No-Build'!G8</f>
        <v>665659127.56078017</v>
      </c>
      <c r="F11" s="1079">
        <f>'Build.vs.No-Build'!H8</f>
        <v>669797908.73079419</v>
      </c>
      <c r="G11" s="1079">
        <f>'Build.vs.No-Build'!I8</f>
        <v>673969736.69960451</v>
      </c>
      <c r="H11" s="1079">
        <f>'Build.vs.No-Build'!J8</f>
        <v>678174883.79702461</v>
      </c>
      <c r="I11" s="1079">
        <f>'Build.vs.No-Build'!K8</f>
        <v>682413624.60965955</v>
      </c>
      <c r="J11" s="1079">
        <f>'Build.vs.No-Build'!L8</f>
        <v>686686235.99965656</v>
      </c>
      <c r="K11" s="1079">
        <f>'Build.vs.No-Build'!M8</f>
        <v>690992997.1236099</v>
      </c>
      <c r="L11" s="1079">
        <f>'Build.vs.No-Build'!N8</f>
        <v>695334189.45162582</v>
      </c>
      <c r="M11" s="1079">
        <f>'Build.vs.No-Build'!O8</f>
        <v>699710096.78654349</v>
      </c>
      <c r="N11" s="1079">
        <f>'Build.vs.No-Build'!P8</f>
        <v>704121005.2833178</v>
      </c>
      <c r="O11" s="1079">
        <f>'Build.vs.No-Build'!Q8</f>
        <v>708567203.46856225</v>
      </c>
      <c r="P11" s="1079">
        <f>'Build.vs.No-Build'!R8</f>
        <v>713048982.26025617</v>
      </c>
      <c r="Q11" s="1079">
        <f>'Build.vs.No-Build'!S8</f>
        <v>717566634.98761344</v>
      </c>
      <c r="R11" s="1079">
        <f>'Build.vs.No-Build'!T8</f>
        <v>722120457.41111934</v>
      </c>
      <c r="S11" s="1079">
        <f>'Build.vs.No-Build'!U8</f>
        <v>726710747.74273169</v>
      </c>
      <c r="T11" s="1079">
        <f>'Build.vs.No-Build'!V8</f>
        <v>731337806.66625369</v>
      </c>
      <c r="U11" s="1079">
        <f>'Build.vs.No-Build'!W8</f>
        <v>736001937.35787117</v>
      </c>
      <c r="V11" s="1079">
        <f>'Build.vs.No-Build'!X8</f>
        <v>740703445.50686574</v>
      </c>
      <c r="W11" s="1079">
        <f>'Build.vs.No-Build'!Y8</f>
        <v>745442639.3364979</v>
      </c>
      <c r="X11" s="1079">
        <f>'Build.vs.No-Build'!Z8</f>
        <v>750219829.62506425</v>
      </c>
      <c r="Y11" s="1075">
        <f>SUM(D11:X11)</f>
        <v>14800132613.503401</v>
      </c>
    </row>
    <row r="12" spans="2:26" ht="14.25" x14ac:dyDescent="0.25">
      <c r="B12" s="1066"/>
      <c r="C12" s="1086"/>
      <c r="D12" s="1067"/>
      <c r="E12" s="1067"/>
      <c r="F12" s="1067"/>
      <c r="G12" s="1067"/>
      <c r="H12" s="1067"/>
      <c r="I12" s="1067"/>
      <c r="J12" s="1067"/>
      <c r="K12" s="1067"/>
      <c r="L12" s="1067"/>
      <c r="M12" s="1067"/>
      <c r="N12" s="1067"/>
      <c r="O12" s="1067"/>
      <c r="P12" s="1067"/>
      <c r="Q12" s="1067"/>
      <c r="R12" s="1067"/>
      <c r="S12" s="1067"/>
      <c r="T12" s="1067"/>
      <c r="U12" s="1067"/>
      <c r="V12" s="1067"/>
      <c r="W12" s="1067"/>
      <c r="X12" s="1067"/>
    </row>
    <row r="13" spans="2:26" ht="14.25" x14ac:dyDescent="0.25">
      <c r="B13" s="1066"/>
      <c r="D13" s="1067"/>
      <c r="E13" s="1067"/>
      <c r="F13" s="1067"/>
      <c r="G13" s="1067"/>
      <c r="H13" s="1067"/>
      <c r="I13" s="1067"/>
      <c r="J13" s="1067"/>
      <c r="K13" s="1067"/>
      <c r="L13" s="1067"/>
      <c r="M13" s="1067"/>
      <c r="N13" s="1067"/>
      <c r="O13" s="1067"/>
      <c r="P13" s="1067"/>
      <c r="Q13" s="1067"/>
      <c r="R13" s="1067"/>
      <c r="S13" s="1067"/>
      <c r="T13" s="1067"/>
      <c r="U13" s="1067"/>
      <c r="V13" s="1067"/>
      <c r="W13" s="1067"/>
      <c r="X13" s="1067"/>
    </row>
    <row r="14" spans="2:26" ht="24" thickBot="1" x14ac:dyDescent="0.3">
      <c r="B14" s="1066"/>
      <c r="D14" s="1844" t="s">
        <v>493</v>
      </c>
      <c r="E14" s="1844"/>
      <c r="F14" s="1844"/>
      <c r="G14" s="1844"/>
      <c r="H14" s="1844"/>
      <c r="I14" s="1844"/>
      <c r="J14" s="1844"/>
      <c r="K14" s="1844"/>
      <c r="L14" s="1844"/>
      <c r="M14" s="1844"/>
      <c r="N14" s="1844"/>
      <c r="O14" s="1844"/>
      <c r="P14" s="1844"/>
      <c r="Q14" s="1844"/>
      <c r="R14" s="1844"/>
      <c r="S14" s="1844"/>
      <c r="T14" s="1844"/>
      <c r="U14" s="1844"/>
      <c r="V14" s="1844"/>
      <c r="W14" s="1844"/>
      <c r="X14" s="1844"/>
    </row>
    <row r="15" spans="2:26" ht="15" thickBot="1" x14ac:dyDescent="0.3">
      <c r="B15" s="702"/>
      <c r="C15" s="1069"/>
      <c r="D15" s="712">
        <v>2023</v>
      </c>
      <c r="E15" s="417">
        <f>D15+1</f>
        <v>2024</v>
      </c>
      <c r="F15" s="417">
        <f t="shared" ref="F15:X15" si="1">E15+1</f>
        <v>2025</v>
      </c>
      <c r="G15" s="417">
        <f t="shared" si="1"/>
        <v>2026</v>
      </c>
      <c r="H15" s="417">
        <f t="shared" si="1"/>
        <v>2027</v>
      </c>
      <c r="I15" s="417">
        <f t="shared" si="1"/>
        <v>2028</v>
      </c>
      <c r="J15" s="417">
        <f t="shared" si="1"/>
        <v>2029</v>
      </c>
      <c r="K15" s="417">
        <f t="shared" si="1"/>
        <v>2030</v>
      </c>
      <c r="L15" s="417">
        <f t="shared" si="1"/>
        <v>2031</v>
      </c>
      <c r="M15" s="417">
        <f t="shared" si="1"/>
        <v>2032</v>
      </c>
      <c r="N15" s="417">
        <f t="shared" si="1"/>
        <v>2033</v>
      </c>
      <c r="O15" s="417">
        <f t="shared" si="1"/>
        <v>2034</v>
      </c>
      <c r="P15" s="417">
        <f t="shared" si="1"/>
        <v>2035</v>
      </c>
      <c r="Q15" s="417">
        <f t="shared" si="1"/>
        <v>2036</v>
      </c>
      <c r="R15" s="417">
        <f t="shared" si="1"/>
        <v>2037</v>
      </c>
      <c r="S15" s="417">
        <f t="shared" si="1"/>
        <v>2038</v>
      </c>
      <c r="T15" s="417">
        <f t="shared" si="1"/>
        <v>2039</v>
      </c>
      <c r="U15" s="417">
        <f t="shared" si="1"/>
        <v>2040</v>
      </c>
      <c r="V15" s="417">
        <f t="shared" si="1"/>
        <v>2041</v>
      </c>
      <c r="W15" s="417">
        <f t="shared" si="1"/>
        <v>2042</v>
      </c>
      <c r="X15" s="713">
        <f t="shared" si="1"/>
        <v>2043</v>
      </c>
    </row>
    <row r="16" spans="2:26" ht="20.25" x14ac:dyDescent="0.25">
      <c r="B16" s="1070" t="s">
        <v>460</v>
      </c>
      <c r="C16" s="1071"/>
      <c r="D16" s="1079">
        <f>'Build.vs.No-Build'!F37</f>
        <v>379448813.98219019</v>
      </c>
      <c r="E16" s="1079">
        <f>'Build.vs.No-Build'!G37</f>
        <v>383417061.16706127</v>
      </c>
      <c r="F16" s="1079">
        <f>'Build.vs.No-Build'!H37</f>
        <v>387426807.98281795</v>
      </c>
      <c r="G16" s="1079">
        <f>'Build.vs.No-Build'!I37</f>
        <v>391478488.42948186</v>
      </c>
      <c r="H16" s="1079">
        <f>'Build.vs.No-Build'!J37</f>
        <v>395572541.04581386</v>
      </c>
      <c r="I16" s="1079">
        <f>'Build.vs.No-Build'!K37</f>
        <v>399709408.95678085</v>
      </c>
      <c r="J16" s="1079">
        <f>'Build.vs.No-Build'!L37</f>
        <v>403889539.9215166</v>
      </c>
      <c r="K16" s="1079">
        <f>'Build.vs.No-Build'!M37</f>
        <v>408113386.38178694</v>
      </c>
      <c r="L16" s="1079">
        <f>'Build.vs.No-Build'!N37</f>
        <v>412381405.51095927</v>
      </c>
      <c r="M16" s="1079">
        <f>'Build.vs.No-Build'!O37</f>
        <v>416694059.26348585</v>
      </c>
      <c r="N16" s="1079">
        <f>'Build.vs.No-Build'!P37</f>
        <v>421051814.42490387</v>
      </c>
      <c r="O16" s="1079">
        <f>'Build.vs.No-Build'!Q37</f>
        <v>425455142.66235864</v>
      </c>
      <c r="P16" s="1079">
        <f>'Build.vs.No-Build'!R37</f>
        <v>429904520.57565498</v>
      </c>
      <c r="Q16" s="1079">
        <f>'Build.vs.No-Build'!S37</f>
        <v>434400429.74884272</v>
      </c>
      <c r="R16" s="1079">
        <f>'Build.vs.No-Build'!T37</f>
        <v>438943356.80234122</v>
      </c>
      <c r="S16" s="1079">
        <f>'Build.vs.No-Build'!U37</f>
        <v>443533793.44561011</v>
      </c>
      <c r="T16" s="1079">
        <f>'Build.vs.No-Build'!V37</f>
        <v>448172236.53036928</v>
      </c>
      <c r="U16" s="1079">
        <f>'Build.vs.No-Build'!W37</f>
        <v>452859188.10437661</v>
      </c>
      <c r="V16" s="1079">
        <f>'Build.vs.No-Build'!X37</f>
        <v>457595155.46576762</v>
      </c>
      <c r="W16" s="1079">
        <f>'Build.vs.No-Build'!Y37</f>
        <v>462380651.21796399</v>
      </c>
      <c r="X16" s="1079">
        <f>'Build.vs.No-Build'!Z37</f>
        <v>467216193.32515496</v>
      </c>
      <c r="Y16" s="1075">
        <f>SUM(D16:X16)</f>
        <v>8859643994.9452381</v>
      </c>
    </row>
    <row r="17" spans="1:26" ht="20.25" x14ac:dyDescent="0.25">
      <c r="B17" s="1076" t="s">
        <v>461</v>
      </c>
      <c r="C17" s="1077"/>
      <c r="D17" s="1079">
        <f>'Build.vs.No-Build'!F38</f>
        <v>205981376.3284108</v>
      </c>
      <c r="E17" s="1079">
        <f>'Build.vs.No-Build'!G38</f>
        <v>206544196.519658</v>
      </c>
      <c r="F17" s="1079">
        <f>'Build.vs.No-Build'!H38</f>
        <v>207108554.55172035</v>
      </c>
      <c r="G17" s="1079">
        <f>'Build.vs.No-Build'!I38</f>
        <v>207674454.62656927</v>
      </c>
      <c r="H17" s="1079">
        <f>'Build.vs.No-Build'!J38</f>
        <v>208241900.95765764</v>
      </c>
      <c r="I17" s="1079">
        <f>'Build.vs.No-Build'!K38</f>
        <v>208810897.76995102</v>
      </c>
      <c r="J17" s="1079">
        <f>'Build.vs.No-Build'!L38</f>
        <v>209381449.2999593</v>
      </c>
      <c r="K17" s="1079">
        <f>'Build.vs.No-Build'!M38</f>
        <v>209953559.79576808</v>
      </c>
      <c r="L17" s="1079">
        <f>'Build.vs.No-Build'!N38</f>
        <v>210527233.51707035</v>
      </c>
      <c r="M17" s="1079">
        <f>'Build.vs.No-Build'!O38</f>
        <v>211102474.73519826</v>
      </c>
      <c r="N17" s="1079">
        <f>'Build.vs.No-Build'!P38</f>
        <v>211679287.73315492</v>
      </c>
      <c r="O17" s="1079">
        <f>'Build.vs.No-Build'!Q38</f>
        <v>212257676.80564606</v>
      </c>
      <c r="P17" s="1079">
        <f>'Build.vs.No-Build'!R38</f>
        <v>212837646.25911251</v>
      </c>
      <c r="Q17" s="1079">
        <f>'Build.vs.No-Build'!S38</f>
        <v>213419200.41176152</v>
      </c>
      <c r="R17" s="1079">
        <f>'Build.vs.No-Build'!T38</f>
        <v>214002343.59359983</v>
      </c>
      <c r="S17" s="1079">
        <f>'Build.vs.No-Build'!U38</f>
        <v>214587080.14646497</v>
      </c>
      <c r="T17" s="1079">
        <f>'Build.vs.No-Build'!V38</f>
        <v>215173414.42405835</v>
      </c>
      <c r="U17" s="1079">
        <f>'Build.vs.No-Build'!W38</f>
        <v>215761350.79197726</v>
      </c>
      <c r="V17" s="1079">
        <f>'Build.vs.No-Build'!X38</f>
        <v>216350893.62774748</v>
      </c>
      <c r="W17" s="1079">
        <f>'Build.vs.No-Build'!Y38</f>
        <v>216942047.32085577</v>
      </c>
      <c r="X17" s="1079">
        <f>'Build.vs.No-Build'!Z38</f>
        <v>217534816.27278283</v>
      </c>
      <c r="Y17" s="1075">
        <f>SUM(D17:X17)</f>
        <v>4445871855.4891243</v>
      </c>
    </row>
    <row r="18" spans="1:26" ht="40.5" x14ac:dyDescent="0.25">
      <c r="B18" s="1076" t="s">
        <v>462</v>
      </c>
      <c r="C18" s="1077"/>
      <c r="D18" s="1079">
        <f>'Build.vs.No-Build'!F39</f>
        <v>124894315.15420036</v>
      </c>
      <c r="E18" s="1079">
        <f>'Build.vs.No-Build'!G39</f>
        <v>126188184.48332641</v>
      </c>
      <c r="F18" s="1079">
        <f>'Build.vs.No-Build'!H39</f>
        <v>127495457.9280744</v>
      </c>
      <c r="G18" s="1079">
        <f>'Build.vs.No-Build'!I39</f>
        <v>128816274.35124263</v>
      </c>
      <c r="H18" s="1079">
        <f>'Build.vs.No-Build'!J39</f>
        <v>130150774.05420808</v>
      </c>
      <c r="I18" s="1079">
        <f>'Build.vs.No-Build'!K39</f>
        <v>131499098.79182999</v>
      </c>
      <c r="J18" s="1079">
        <f>'Build.vs.No-Build'!L39</f>
        <v>132861391.78750716</v>
      </c>
      <c r="K18" s="1079">
        <f>'Build.vs.No-Build'!M39</f>
        <v>134237797.74839184</v>
      </c>
      <c r="L18" s="1079">
        <f>'Build.vs.No-Build'!N39</f>
        <v>135628462.88076097</v>
      </c>
      <c r="M18" s="1079">
        <f>'Build.vs.No-Build'!O39</f>
        <v>137033534.90554661</v>
      </c>
      <c r="N18" s="1079">
        <f>'Build.vs.No-Build'!P39</f>
        <v>138453163.0740273</v>
      </c>
      <c r="O18" s="1079">
        <f>'Build.vs.No-Build'!Q39</f>
        <v>139887498.18368214</v>
      </c>
      <c r="P18" s="1079">
        <f>'Build.vs.No-Build'!R39</f>
        <v>141336692.59420896</v>
      </c>
      <c r="Q18" s="1079">
        <f>'Build.vs.No-Build'!S39</f>
        <v>142800900.24370831</v>
      </c>
      <c r="R18" s="1079">
        <f>'Build.vs.No-Build'!T39</f>
        <v>144280276.66503546</v>
      </c>
      <c r="S18" s="1079">
        <f>'Build.vs.No-Build'!U39</f>
        <v>145774979.00232136</v>
      </c>
      <c r="T18" s="1079">
        <f>'Build.vs.No-Build'!V39</f>
        <v>147285166.02766532</v>
      </c>
      <c r="U18" s="1079">
        <f>'Build.vs.No-Build'!W39</f>
        <v>148810998.15800005</v>
      </c>
      <c r="V18" s="1079">
        <f>'Build.vs.No-Build'!X39</f>
        <v>150352637.47213176</v>
      </c>
      <c r="W18" s="1079">
        <f>'Build.vs.No-Build'!Y39</f>
        <v>151910247.72795659</v>
      </c>
      <c r="X18" s="1079">
        <f>'Build.vs.No-Build'!Z39</f>
        <v>153483994.37985557</v>
      </c>
      <c r="Y18" s="1075">
        <f>SUM(D18:X18)</f>
        <v>2913181845.6136813</v>
      </c>
      <c r="Z18" s="1067"/>
    </row>
    <row r="19" spans="1:26" ht="20.25" x14ac:dyDescent="0.3">
      <c r="B19" s="1081" t="s">
        <v>463</v>
      </c>
      <c r="C19" s="1082"/>
      <c r="D19" s="1079">
        <f>'Build.vs.No-Build'!F40</f>
        <v>43316911.764705881</v>
      </c>
      <c r="E19" s="1079">
        <f>'Build.vs.No-Build'!G40</f>
        <v>44290358.775713623</v>
      </c>
      <c r="F19" s="1079">
        <f>'Build.vs.No-Build'!H40</f>
        <v>45285681.747971497</v>
      </c>
      <c r="G19" s="1079">
        <f>'Build.vs.No-Build'!I40</f>
        <v>46303372.292913094</v>
      </c>
      <c r="H19" s="1079">
        <f>'Build.vs.No-Build'!J40</f>
        <v>47343933.069797494</v>
      </c>
      <c r="I19" s="1079">
        <f>'Build.vs.No-Build'!K40</f>
        <v>48407878.033983424</v>
      </c>
      <c r="J19" s="1079">
        <f>'Build.vs.No-Build'!L40</f>
        <v>49495732.690782927</v>
      </c>
      <c r="K19" s="1079">
        <f>'Build.vs.No-Build'!M40</f>
        <v>50608034.355019726</v>
      </c>
      <c r="L19" s="1079">
        <f>'Build.vs.No-Build'!N40</f>
        <v>51745332.416420579</v>
      </c>
      <c r="M19" s="1079">
        <f>'Build.vs.No-Build'!O40</f>
        <v>52908188.610970639</v>
      </c>
      <c r="N19" s="1079">
        <f>'Build.vs.No-Build'!P40</f>
        <v>54097177.298367038</v>
      </c>
      <c r="O19" s="1079">
        <f>'Build.vs.No-Build'!Q40</f>
        <v>55312885.74570743</v>
      </c>
      <c r="P19" s="1079">
        <f>'Build.vs.No-Build'!R40</f>
        <v>56555914.417553887</v>
      </c>
      <c r="Q19" s="1079">
        <f>'Build.vs.No-Build'!S40</f>
        <v>57826877.272515193</v>
      </c>
      <c r="R19" s="1079">
        <f>'Build.vs.No-Build'!T40</f>
        <v>59126402.066494316</v>
      </c>
      <c r="S19" s="1079">
        <f>'Build.vs.No-Build'!U40</f>
        <v>60455130.662750512</v>
      </c>
      <c r="T19" s="1079">
        <f>'Build.vs.No-Build'!V40</f>
        <v>61813719.348929383</v>
      </c>
      <c r="U19" s="1079">
        <f>'Build.vs.No-Build'!W40</f>
        <v>63202839.161217436</v>
      </c>
      <c r="V19" s="1079">
        <f>'Build.vs.No-Build'!X40</f>
        <v>64623176.21578142</v>
      </c>
      <c r="W19" s="1079">
        <f>'Build.vs.No-Build'!Y40</f>
        <v>66075432.047655731</v>
      </c>
      <c r="X19" s="1079">
        <f>'Build.vs.No-Build'!Z40</f>
        <v>67560323.957245752</v>
      </c>
      <c r="Y19" s="1075">
        <f>SUM(D19:X19)</f>
        <v>1146355301.952497</v>
      </c>
    </row>
    <row r="20" spans="1:26" ht="20.25" x14ac:dyDescent="0.3">
      <c r="B20" s="1081" t="s">
        <v>464</v>
      </c>
      <c r="C20" s="1082"/>
      <c r="D20" s="1079">
        <f>'Build.vs.No-Build'!F41</f>
        <v>753641417.22950721</v>
      </c>
      <c r="E20" s="1079">
        <f>'Build.vs.No-Build'!G41</f>
        <v>760439800.9457593</v>
      </c>
      <c r="F20" s="1079">
        <f>'Build.vs.No-Build'!H41</f>
        <v>767316502.21058416</v>
      </c>
      <c r="G20" s="1079">
        <f>'Build.vs.No-Build'!I41</f>
        <v>774272589.70020688</v>
      </c>
      <c r="H20" s="1079">
        <f>'Build.vs.No-Build'!J41</f>
        <v>781309149.12747705</v>
      </c>
      <c r="I20" s="1079">
        <f>'Build.vs.No-Build'!K41</f>
        <v>788427283.55254531</v>
      </c>
      <c r="J20" s="1079">
        <f>'Build.vs.No-Build'!L41</f>
        <v>795628113.69976592</v>
      </c>
      <c r="K20" s="1079">
        <f>'Build.vs.No-Build'!M41</f>
        <v>802912778.28096664</v>
      </c>
      <c r="L20" s="1079">
        <f>'Build.vs.No-Build'!N41</f>
        <v>810282434.32521117</v>
      </c>
      <c r="M20" s="1079">
        <f>'Build.vs.No-Build'!O41</f>
        <v>817738257.51520145</v>
      </c>
      <c r="N20" s="1079">
        <f>'Build.vs.No-Build'!P41</f>
        <v>825281442.53045309</v>
      </c>
      <c r="O20" s="1079">
        <f>'Build.vs.No-Build'!Q41</f>
        <v>832913203.3973943</v>
      </c>
      <c r="P20" s="1079">
        <f>'Build.vs.No-Build'!R41</f>
        <v>840634773.84653032</v>
      </c>
      <c r="Q20" s="1079">
        <f>'Build.vs.No-Build'!S41</f>
        <v>848447407.67682779</v>
      </c>
      <c r="R20" s="1079">
        <f>'Build.vs.No-Build'!T41</f>
        <v>856352379.12747085</v>
      </c>
      <c r="S20" s="1079">
        <f>'Build.vs.No-Build'!U41</f>
        <v>864350983.25714695</v>
      </c>
      <c r="T20" s="1079">
        <f>'Build.vs.No-Build'!V41</f>
        <v>872444536.33102226</v>
      </c>
      <c r="U20" s="1079">
        <f>'Build.vs.No-Build'!W41</f>
        <v>880634376.2155714</v>
      </c>
      <c r="V20" s="1079">
        <f>'Build.vs.No-Build'!X41</f>
        <v>888921862.78142834</v>
      </c>
      <c r="W20" s="1079">
        <f>'Build.vs.No-Build'!Y41</f>
        <v>897308378.31443202</v>
      </c>
      <c r="X20" s="1079">
        <f>'Build.vs.No-Build'!Z41</f>
        <v>905795327.93503916</v>
      </c>
      <c r="Y20" s="1075">
        <f>SUM(D20:X20)</f>
        <v>17365052998.000542</v>
      </c>
    </row>
    <row r="21" spans="1:26" ht="14.25" x14ac:dyDescent="0.25">
      <c r="B21" s="1066"/>
      <c r="C21" s="1086"/>
      <c r="D21" s="1067"/>
      <c r="E21" s="1067"/>
      <c r="F21" s="1067"/>
      <c r="G21" s="1067"/>
      <c r="H21" s="1067"/>
      <c r="I21" s="1067"/>
      <c r="J21" s="1067"/>
      <c r="K21" s="1067"/>
      <c r="L21" s="1067"/>
      <c r="M21" s="1067"/>
      <c r="N21" s="1067"/>
      <c r="O21" s="1067"/>
      <c r="P21" s="1067"/>
      <c r="Q21" s="1067"/>
      <c r="R21" s="1067"/>
      <c r="S21" s="1067"/>
      <c r="T21" s="1067"/>
      <c r="U21" s="1067"/>
      <c r="V21" s="1067"/>
      <c r="W21" s="1067"/>
      <c r="X21" s="1067"/>
    </row>
    <row r="22" spans="1:26" s="1066" customFormat="1" ht="21" customHeight="1" thickBot="1" x14ac:dyDescent="0.3">
      <c r="A22" s="1064"/>
      <c r="D22" s="1844" t="s">
        <v>310</v>
      </c>
      <c r="E22" s="1844"/>
      <c r="F22" s="1844"/>
      <c r="G22" s="1844"/>
      <c r="H22" s="1844"/>
      <c r="I22" s="1844"/>
      <c r="J22" s="1844"/>
      <c r="K22" s="1844"/>
      <c r="L22" s="1844"/>
      <c r="M22" s="1844"/>
      <c r="N22" s="1844"/>
      <c r="O22" s="1844"/>
      <c r="P22" s="1844"/>
      <c r="Q22" s="1844"/>
      <c r="R22" s="1844"/>
      <c r="S22" s="1844"/>
      <c r="T22" s="1844"/>
      <c r="U22" s="1844"/>
      <c r="V22" s="1844"/>
      <c r="W22" s="1844"/>
      <c r="X22" s="1844"/>
    </row>
    <row r="23" spans="1:26" s="1066" customFormat="1" ht="21" customHeight="1" thickBot="1" x14ac:dyDescent="0.3">
      <c r="A23" s="1064"/>
      <c r="B23" s="1088"/>
      <c r="C23" s="1088"/>
      <c r="D23" s="712">
        <v>2023</v>
      </c>
      <c r="E23" s="417">
        <f>D23+1</f>
        <v>2024</v>
      </c>
      <c r="F23" s="417">
        <f t="shared" ref="F23:X23" si="2">E23+1</f>
        <v>2025</v>
      </c>
      <c r="G23" s="417">
        <f t="shared" si="2"/>
        <v>2026</v>
      </c>
      <c r="H23" s="417">
        <f t="shared" si="2"/>
        <v>2027</v>
      </c>
      <c r="I23" s="417">
        <f t="shared" si="2"/>
        <v>2028</v>
      </c>
      <c r="J23" s="417">
        <f t="shared" si="2"/>
        <v>2029</v>
      </c>
      <c r="K23" s="417">
        <f t="shared" si="2"/>
        <v>2030</v>
      </c>
      <c r="L23" s="417">
        <f t="shared" si="2"/>
        <v>2031</v>
      </c>
      <c r="M23" s="417">
        <f t="shared" si="2"/>
        <v>2032</v>
      </c>
      <c r="N23" s="417">
        <f t="shared" si="2"/>
        <v>2033</v>
      </c>
      <c r="O23" s="417">
        <f t="shared" si="2"/>
        <v>2034</v>
      </c>
      <c r="P23" s="417">
        <f t="shared" si="2"/>
        <v>2035</v>
      </c>
      <c r="Q23" s="417">
        <f t="shared" si="2"/>
        <v>2036</v>
      </c>
      <c r="R23" s="417">
        <f t="shared" si="2"/>
        <v>2037</v>
      </c>
      <c r="S23" s="417">
        <f t="shared" si="2"/>
        <v>2038</v>
      </c>
      <c r="T23" s="417">
        <f t="shared" si="2"/>
        <v>2039</v>
      </c>
      <c r="U23" s="417">
        <f t="shared" si="2"/>
        <v>2040</v>
      </c>
      <c r="V23" s="417">
        <f t="shared" si="2"/>
        <v>2041</v>
      </c>
      <c r="W23" s="417">
        <f t="shared" si="2"/>
        <v>2042</v>
      </c>
      <c r="X23" s="713">
        <f t="shared" si="2"/>
        <v>2043</v>
      </c>
    </row>
    <row r="24" spans="1:26" s="1066" customFormat="1" ht="21" customHeight="1" x14ac:dyDescent="0.25">
      <c r="A24" s="1064"/>
      <c r="B24" s="1070" t="s">
        <v>394</v>
      </c>
      <c r="C24" s="1071"/>
      <c r="D24" s="1192">
        <f>'Build.vs.No-Build'!F29</f>
        <v>38.821431834891619</v>
      </c>
      <c r="E24" s="1192">
        <f>'Build.vs.No-Build'!G29</f>
        <v>37.620172434593442</v>
      </c>
      <c r="F24" s="1192">
        <f>'Build.vs.No-Build'!H29</f>
        <v>36.456083846359647</v>
      </c>
      <c r="G24" s="1192">
        <f>'Build.vs.No-Build'!I29</f>
        <v>35.328015886250618</v>
      </c>
      <c r="H24" s="1192">
        <f>'Build.vs.No-Build'!J29</f>
        <v>34.234853960700534</v>
      </c>
      <c r="I24" s="1192">
        <f>'Build.vs.No-Build'!K29</f>
        <v>33.175517965237198</v>
      </c>
      <c r="J24" s="1192">
        <f>'Build.vs.No-Build'!L29</f>
        <v>32.14896121727913</v>
      </c>
      <c r="K24" s="1192">
        <f>'Build.vs.No-Build'!M29</f>
        <v>31.154169421955189</v>
      </c>
      <c r="L24" s="1192">
        <f>'Build.vs.No-Build'!N29</f>
        <v>30.190159669925134</v>
      </c>
      <c r="M24" s="1192">
        <f>'Build.vs.No-Build'!O29</f>
        <v>29.255979466210821</v>
      </c>
      <c r="N24" s="1192">
        <f>'Build.vs.No-Build'!P29</f>
        <v>28.350705789078447</v>
      </c>
      <c r="O24" s="1192">
        <f>'Build.vs.No-Build'!Q29</f>
        <v>27.473444178042008</v>
      </c>
      <c r="P24" s="1192">
        <f>'Build.vs.No-Build'!R29</f>
        <v>26.623327850086827</v>
      </c>
      <c r="Q24" s="1192">
        <f>'Build.vs.No-Build'!S29</f>
        <v>25.799516843240017</v>
      </c>
      <c r="R24" s="1192">
        <f>'Build.vs.No-Build'!T29</f>
        <v>25.001197186641512</v>
      </c>
      <c r="S24" s="1192">
        <f>'Build.vs.No-Build'!U29</f>
        <v>24.227580096295849</v>
      </c>
      <c r="T24" s="1192">
        <f>'Build.vs.No-Build'!V29</f>
        <v>23.477901195709936</v>
      </c>
      <c r="U24" s="1192">
        <f>'Build.vs.No-Build'!W29</f>
        <v>22.751419760646787</v>
      </c>
      <c r="V24" s="1192">
        <f>'Build.vs.No-Build'!X29</f>
        <v>22.047417987248956</v>
      </c>
      <c r="W24" s="1192">
        <f>'Build.vs.No-Build'!Y29</f>
        <v>21.365200282808644</v>
      </c>
      <c r="X24" s="1192">
        <f>'Build.vs.No-Build'!Z29</f>
        <v>20.704092578483582</v>
      </c>
    </row>
    <row r="25" spans="1:26" s="1066" customFormat="1" ht="21" customHeight="1" x14ac:dyDescent="0.25">
      <c r="A25" s="1064"/>
      <c r="B25" s="1076" t="s">
        <v>395</v>
      </c>
      <c r="C25" s="1077"/>
      <c r="D25" s="1192">
        <f>'Build.vs.No-Build'!F30</f>
        <v>38.796321414879486</v>
      </c>
      <c r="E25" s="1192">
        <f>'Build.vs.No-Build'!G30</f>
        <v>37.596936648117925</v>
      </c>
      <c r="F25" s="1192">
        <f>'Build.vs.No-Build'!H30</f>
        <v>36.434630752916291</v>
      </c>
      <c r="G25" s="1192">
        <f>'Build.vs.No-Build'!I30</f>
        <v>35.308257439314701</v>
      </c>
      <c r="H25" s="1192">
        <f>'Build.vs.No-Build'!J30</f>
        <v>34.216705854803713</v>
      </c>
      <c r="I25" s="1192">
        <f>'Build.vs.No-Build'!K30</f>
        <v>33.158899488778687</v>
      </c>
      <c r="J25" s="1192">
        <f>'Build.vs.No-Build'!L30</f>
        <v>32.133795110862955</v>
      </c>
      <c r="K25" s="1192">
        <f>'Build.vs.No-Build'!M30</f>
        <v>31.140381742052565</v>
      </c>
      <c r="L25" s="1192">
        <f>'Build.vs.No-Build'!N30</f>
        <v>30.177679657668012</v>
      </c>
      <c r="M25" s="1192">
        <f>'Build.vs.No-Build'!O30</f>
        <v>29.244739421129619</v>
      </c>
      <c r="N25" s="1192">
        <f>'Build.vs.No-Build'!P30</f>
        <v>28.340640947603696</v>
      </c>
      <c r="O25" s="1192">
        <f>'Build.vs.No-Build'!Q30</f>
        <v>27.4644925965959</v>
      </c>
      <c r="P25" s="1192">
        <f>'Build.vs.No-Build'!R30</f>
        <v>26.615430292597175</v>
      </c>
      <c r="Q25" s="1192">
        <f>'Build.vs.No-Build'!S30</f>
        <v>25.792616672914615</v>
      </c>
      <c r="R25" s="1192">
        <f>'Build.vs.No-Build'!T30</f>
        <v>24.995240261847211</v>
      </c>
      <c r="S25" s="1192">
        <f>'Build.vs.No-Build'!U30</f>
        <v>24.222514670391853</v>
      </c>
      <c r="T25" s="1192">
        <f>'Build.vs.No-Build'!V30</f>
        <v>23.47367782069033</v>
      </c>
      <c r="U25" s="1192">
        <f>'Build.vs.No-Build'!W30</f>
        <v>22.747991194452442</v>
      </c>
      <c r="V25" s="1192">
        <f>'Build.vs.No-Build'!X30</f>
        <v>22.044739104614148</v>
      </c>
      <c r="W25" s="1192">
        <f>'Build.vs.No-Build'!Y30</f>
        <v>21.363227989512222</v>
      </c>
      <c r="X25" s="1192">
        <f>'Build.vs.No-Build'!Z30</f>
        <v>20.70278572887954</v>
      </c>
    </row>
    <row r="26" spans="1:26" s="1066" customFormat="1" ht="21" customHeight="1" x14ac:dyDescent="0.25">
      <c r="A26" s="1064"/>
      <c r="B26" s="1076" t="s">
        <v>396</v>
      </c>
      <c r="C26" s="1077"/>
      <c r="D26" s="1192">
        <f>'Build.vs.No-Build'!F31</f>
        <v>38.820390406202534</v>
      </c>
      <c r="E26" s="1192">
        <f>'Build.vs.No-Build'!G31</f>
        <v>37.619133456215238</v>
      </c>
      <c r="F26" s="1192">
        <f>'Build.vs.No-Build'!H31</f>
        <v>36.455048163823172</v>
      </c>
      <c r="G26" s="1192">
        <f>'Build.vs.No-Build'!I31</f>
        <v>35.326984290413051</v>
      </c>
      <c r="H26" s="1192">
        <f>'Build.vs.No-Build'!J31</f>
        <v>34.233827190319332</v>
      </c>
      <c r="I26" s="1192">
        <f>'Build.vs.No-Build'!K31</f>
        <v>33.174496709437179</v>
      </c>
      <c r="J26" s="1192">
        <f>'Build.vs.No-Build'!L31</f>
        <v>32.147946117916725</v>
      </c>
      <c r="K26" s="1192">
        <f>'Build.vs.No-Build'!M31</f>
        <v>31.153161075883911</v>
      </c>
      <c r="L26" s="1192">
        <f>'Build.vs.No-Build'!N31</f>
        <v>30.189158631166098</v>
      </c>
      <c r="M26" s="1192">
        <f>'Build.vs.No-Build'!O31</f>
        <v>29.254986248032026</v>
      </c>
      <c r="N26" s="1192">
        <f>'Build.vs.No-Build'!P31</f>
        <v>28.349720865986406</v>
      </c>
      <c r="O26" s="1192">
        <f>'Build.vs.No-Build'!Q31</f>
        <v>27.472467987689111</v>
      </c>
      <c r="P26" s="1192">
        <f>'Build.vs.No-Build'!R31</f>
        <v>26.622360795097809</v>
      </c>
      <c r="Q26" s="1192">
        <f>'Build.vs.No-Build'!S31</f>
        <v>25.798559292960654</v>
      </c>
      <c r="R26" s="1192">
        <f>'Build.vs.No-Build'!T31</f>
        <v>25.000249478812655</v>
      </c>
      <c r="S26" s="1192">
        <f>'Build.vs.No-Build'!U31</f>
        <v>24.226642538655724</v>
      </c>
      <c r="T26" s="1192">
        <f>'Build.vs.No-Build'!V31</f>
        <v>23.476974067527511</v>
      </c>
      <c r="U26" s="1192">
        <f>'Build.vs.No-Build'!W31</f>
        <v>22.750503314189004</v>
      </c>
      <c r="V26" s="1192">
        <f>'Build.vs.No-Build'!X31</f>
        <v>22.046512449184409</v>
      </c>
      <c r="W26" s="1192">
        <f>'Build.vs.No-Build'!Y31</f>
        <v>21.364305855550235</v>
      </c>
      <c r="X26" s="1192">
        <f>'Build.vs.No-Build'!Z31</f>
        <v>20.703209441472609</v>
      </c>
    </row>
    <row r="27" spans="1:26" s="1066" customFormat="1" ht="21" customHeight="1" x14ac:dyDescent="0.3">
      <c r="A27" s="1064"/>
      <c r="B27" s="1081" t="s">
        <v>140</v>
      </c>
      <c r="C27" s="1082"/>
      <c r="D27" s="1192">
        <f>'Build.vs.No-Build'!F32</f>
        <v>38.63573596229935</v>
      </c>
      <c r="E27" s="1192">
        <f>'Build.vs.No-Build'!G32</f>
        <v>37.389132250901135</v>
      </c>
      <c r="F27" s="1192">
        <f>'Build.vs.No-Build'!H32</f>
        <v>36.182750908109739</v>
      </c>
      <c r="G27" s="1192">
        <f>'Build.vs.No-Build'!I32</f>
        <v>35.01529413662076</v>
      </c>
      <c r="H27" s="1192">
        <f>'Build.vs.No-Build'!J32</f>
        <v>33.885506013288385</v>
      </c>
      <c r="I27" s="1192">
        <f>'Build.vs.No-Build'!K32</f>
        <v>32.792171138032181</v>
      </c>
      <c r="J27" s="1192">
        <f>'Build.vs.No-Build'!L32</f>
        <v>31.734113326337692</v>
      </c>
      <c r="K27" s="1192">
        <f>'Build.vs.No-Build'!M32</f>
        <v>30.710194343944131</v>
      </c>
      <c r="L27" s="1192">
        <f>'Build.vs.No-Build'!N32</f>
        <v>29.719312682358119</v>
      </c>
      <c r="M27" s="1192">
        <f>'Build.vs.No-Build'!O32</f>
        <v>28.760402373876275</v>
      </c>
      <c r="N27" s="1192">
        <f>'Build.vs.No-Build'!P32</f>
        <v>27.832431844841569</v>
      </c>
      <c r="O27" s="1192">
        <f>'Build.vs.No-Build'!Q32</f>
        <v>26.93440280590017</v>
      </c>
      <c r="P27" s="1192">
        <f>'Build.vs.No-Build'!R32</f>
        <v>26.065349178064686</v>
      </c>
      <c r="Q27" s="1192">
        <f>'Build.vs.No-Build'!S32</f>
        <v>25.224336053428669</v>
      </c>
      <c r="R27" s="1192">
        <f>'Build.vs.No-Build'!T32</f>
        <v>24.410458689414067</v>
      </c>
      <c r="S27" s="1192">
        <f>'Build.vs.No-Build'!U32</f>
        <v>23.622841535470116</v>
      </c>
      <c r="T27" s="1192">
        <f>'Build.vs.No-Build'!V32</f>
        <v>22.860637291176054</v>
      </c>
      <c r="U27" s="1192">
        <f>'Build.vs.No-Build'!W32</f>
        <v>22.123025994734931</v>
      </c>
      <c r="V27" s="1192">
        <f>'Build.vs.No-Build'!X32</f>
        <v>21.409214140877488</v>
      </c>
      <c r="W27" s="1192">
        <f>'Build.vs.No-Build'!Y32</f>
        <v>20.718433827227447</v>
      </c>
      <c r="X27" s="1192">
        <f>'Build.vs.No-Build'!Z32</f>
        <v>20.049941928209847</v>
      </c>
    </row>
    <row r="28" spans="1:26" s="1066" customFormat="1" ht="21" customHeight="1" x14ac:dyDescent="0.25">
      <c r="A28" s="1064"/>
      <c r="D28" s="1075"/>
      <c r="E28" s="1089"/>
      <c r="F28" s="1089"/>
      <c r="G28" s="1089"/>
      <c r="H28" s="1089"/>
      <c r="I28" s="1089"/>
      <c r="J28" s="1089"/>
      <c r="K28" s="1089"/>
      <c r="L28" s="1089"/>
      <c r="M28" s="1089"/>
      <c r="N28" s="1089"/>
      <c r="O28" s="1089"/>
      <c r="P28" s="1089"/>
      <c r="Q28" s="1089"/>
      <c r="R28" s="1089"/>
      <c r="S28" s="1089"/>
      <c r="T28" s="1089"/>
      <c r="U28" s="1089"/>
      <c r="V28" s="1089"/>
      <c r="W28" s="1089"/>
      <c r="X28" s="1089"/>
    </row>
    <row r="29" spans="1:26" s="1066" customFormat="1" ht="21" customHeight="1" thickBot="1" x14ac:dyDescent="0.3">
      <c r="A29" s="1064"/>
      <c r="D29" s="1844" t="s">
        <v>311</v>
      </c>
      <c r="E29" s="1844"/>
      <c r="F29" s="1844"/>
      <c r="G29" s="1844"/>
      <c r="H29" s="1844"/>
      <c r="I29" s="1844"/>
      <c r="J29" s="1844"/>
      <c r="K29" s="1844"/>
      <c r="L29" s="1844"/>
      <c r="M29" s="1844"/>
      <c r="N29" s="1844"/>
      <c r="O29" s="1844"/>
      <c r="P29" s="1844"/>
      <c r="Q29" s="1844"/>
      <c r="R29" s="1844"/>
      <c r="S29" s="1844"/>
      <c r="T29" s="1844"/>
      <c r="U29" s="1844"/>
      <c r="V29" s="1844"/>
      <c r="W29" s="1844"/>
      <c r="X29" s="1844"/>
    </row>
    <row r="30" spans="1:26" s="1066" customFormat="1" ht="21" customHeight="1" thickBot="1" x14ac:dyDescent="0.3">
      <c r="A30" s="1064"/>
      <c r="B30" s="1088"/>
      <c r="C30" s="1088"/>
      <c r="D30" s="712">
        <v>2023</v>
      </c>
      <c r="E30" s="417">
        <f>D30+1</f>
        <v>2024</v>
      </c>
      <c r="F30" s="417">
        <f t="shared" ref="F30:X30" si="3">E30+1</f>
        <v>2025</v>
      </c>
      <c r="G30" s="417">
        <f t="shared" si="3"/>
        <v>2026</v>
      </c>
      <c r="H30" s="417">
        <f t="shared" si="3"/>
        <v>2027</v>
      </c>
      <c r="I30" s="417">
        <f t="shared" si="3"/>
        <v>2028</v>
      </c>
      <c r="J30" s="417">
        <f t="shared" si="3"/>
        <v>2029</v>
      </c>
      <c r="K30" s="417">
        <f t="shared" si="3"/>
        <v>2030</v>
      </c>
      <c r="L30" s="417">
        <f t="shared" si="3"/>
        <v>2031</v>
      </c>
      <c r="M30" s="417">
        <f t="shared" si="3"/>
        <v>2032</v>
      </c>
      <c r="N30" s="417">
        <f t="shared" si="3"/>
        <v>2033</v>
      </c>
      <c r="O30" s="417">
        <f t="shared" si="3"/>
        <v>2034</v>
      </c>
      <c r="P30" s="417">
        <f t="shared" si="3"/>
        <v>2035</v>
      </c>
      <c r="Q30" s="417">
        <f t="shared" si="3"/>
        <v>2036</v>
      </c>
      <c r="R30" s="417">
        <f t="shared" si="3"/>
        <v>2037</v>
      </c>
      <c r="S30" s="417">
        <f t="shared" si="3"/>
        <v>2038</v>
      </c>
      <c r="T30" s="417">
        <f t="shared" si="3"/>
        <v>2039</v>
      </c>
      <c r="U30" s="417">
        <f t="shared" si="3"/>
        <v>2040</v>
      </c>
      <c r="V30" s="417">
        <f t="shared" si="3"/>
        <v>2041</v>
      </c>
      <c r="W30" s="417">
        <f t="shared" si="3"/>
        <v>2042</v>
      </c>
      <c r="X30" s="713">
        <f t="shared" si="3"/>
        <v>2043</v>
      </c>
    </row>
    <row r="31" spans="1:26" s="1066" customFormat="1" ht="21" customHeight="1" x14ac:dyDescent="0.25">
      <c r="A31" s="1064"/>
      <c r="B31" s="1070" t="s">
        <v>394</v>
      </c>
      <c r="C31" s="1071"/>
      <c r="D31" s="1192">
        <f>'Build.vs.No-Build'!F53</f>
        <v>44.804202212572676</v>
      </c>
      <c r="E31" s="1192">
        <f>'Build.vs.No-Build'!G53</f>
        <v>44.223657910498268</v>
      </c>
      <c r="F31" s="1192">
        <f>'Build.vs.No-Build'!H53</f>
        <v>43.650635931554895</v>
      </c>
      <c r="G31" s="1192">
        <f>'Build.vs.No-Build'!I53</f>
        <v>43.08503880627282</v>
      </c>
      <c r="H31" s="1192">
        <f>'Build.vs.No-Build'!J53</f>
        <v>42.526770328129551</v>
      </c>
      <c r="I31" s="1192">
        <f>'Build.vs.No-Build'!K53</f>
        <v>41.975735537185457</v>
      </c>
      <c r="J31" s="1192">
        <f>'Build.vs.No-Build'!L53</f>
        <v>41.431840703931243</v>
      </c>
      <c r="K31" s="1192">
        <f>'Build.vs.No-Build'!M53</f>
        <v>40.894993313344919</v>
      </c>
      <c r="L31" s="1192">
        <f>'Build.vs.No-Build'!N53</f>
        <v>40.365102049155176</v>
      </c>
      <c r="M31" s="1192">
        <f>'Build.vs.No-Build'!O53</f>
        <v>39.842076778308744</v>
      </c>
      <c r="N31" s="1192">
        <f>'Build.vs.No-Build'!P53</f>
        <v>39.325828535639062</v>
      </c>
      <c r="O31" s="1192">
        <f>'Build.vs.No-Build'!Q53</f>
        <v>38.816269508733463</v>
      </c>
      <c r="P31" s="1192">
        <f>'Build.vs.No-Build'!R53</f>
        <v>38.313313022996603</v>
      </c>
      <c r="Q31" s="1192">
        <f>'Build.vs.No-Build'!S53</f>
        <v>37.81687352690728</v>
      </c>
      <c r="R31" s="1192">
        <f>'Build.vs.No-Build'!T53</f>
        <v>37.326866577466411</v>
      </c>
      <c r="S31" s="1192">
        <f>'Build.vs.No-Build'!U53</f>
        <v>36.843208825833486</v>
      </c>
      <c r="T31" s="1192">
        <f>'Build.vs.No-Build'!V53</f>
        <v>36.365818003149172</v>
      </c>
      <c r="U31" s="1192">
        <f>'Build.vs.No-Build'!W53</f>
        <v>35.894612906541553</v>
      </c>
      <c r="V31" s="1192">
        <f>'Build.vs.No-Build'!X53</f>
        <v>35.429513385313797</v>
      </c>
      <c r="W31" s="1192">
        <f>'Build.vs.No-Build'!Y53</f>
        <v>34.970440327310747</v>
      </c>
      <c r="X31" s="1192">
        <f>'Build.vs.No-Build'!Z53</f>
        <v>34.517315645462126</v>
      </c>
    </row>
    <row r="32" spans="1:26" s="1066" customFormat="1" ht="21" customHeight="1" x14ac:dyDescent="0.25">
      <c r="A32" s="1064"/>
      <c r="B32" s="1076" t="s">
        <v>395</v>
      </c>
      <c r="C32" s="1077"/>
      <c r="D32" s="1192">
        <f>'Build.vs.No-Build'!F54</f>
        <v>44.843292027991723</v>
      </c>
      <c r="E32" s="1192">
        <f>'Build.vs.No-Build'!G54</f>
        <v>44.260450456312462</v>
      </c>
      <c r="F32" s="1192">
        <f>'Build.vs.No-Build'!H54</f>
        <v>43.685184249471845</v>
      </c>
      <c r="G32" s="1192">
        <f>'Build.vs.No-Build'!I54</f>
        <v>43.117394948205408</v>
      </c>
      <c r="H32" s="1192">
        <f>'Build.vs.No-Build'!J54</f>
        <v>42.556985372952987</v>
      </c>
      <c r="I32" s="1192">
        <f>'Build.vs.No-Build'!K54</f>
        <v>42.003859607225976</v>
      </c>
      <c r="J32" s="1192">
        <f>'Build.vs.No-Build'!L54</f>
        <v>41.457922981190833</v>
      </c>
      <c r="K32" s="1192">
        <f>'Build.vs.No-Build'!M54</f>
        <v>40.919082055465942</v>
      </c>
      <c r="L32" s="1192">
        <f>'Build.vs.No-Build'!N54</f>
        <v>40.387244605129048</v>
      </c>
      <c r="M32" s="1192">
        <f>'Build.vs.No-Build'!O54</f>
        <v>39.862319603932555</v>
      </c>
      <c r="N32" s="1192">
        <f>'Build.vs.No-Build'!P54</f>
        <v>39.344217208724061</v>
      </c>
      <c r="O32" s="1192">
        <f>'Build.vs.No-Build'!Q54</f>
        <v>38.83284874406921</v>
      </c>
      <c r="P32" s="1192">
        <f>'Build.vs.No-Build'!R54</f>
        <v>38.328126687074651</v>
      </c>
      <c r="Q32" s="1192">
        <f>'Build.vs.No-Build'!S54</f>
        <v>37.829964652407959</v>
      </c>
      <c r="R32" s="1192">
        <f>'Build.vs.No-Build'!T54</f>
        <v>37.338277377512611</v>
      </c>
      <c r="S32" s="1192">
        <f>'Build.vs.No-Build'!U54</f>
        <v>36.852980708014726</v>
      </c>
      <c r="T32" s="1192">
        <f>'Build.vs.No-Build'!V54</f>
        <v>36.373991583319842</v>
      </c>
      <c r="U32" s="1192">
        <f>'Build.vs.No-Build'!W54</f>
        <v>35.901228022396694</v>
      </c>
      <c r="V32" s="1192">
        <f>'Build.vs.No-Build'!X54</f>
        <v>35.434609109745786</v>
      </c>
      <c r="W32" s="1192">
        <f>'Build.vs.No-Build'!Y54</f>
        <v>34.974054981550353</v>
      </c>
      <c r="X32" s="1192">
        <f>'Build.vs.No-Build'!Z54</f>
        <v>34.519486812007429</v>
      </c>
    </row>
    <row r="33" spans="1:36" s="1066" customFormat="1" ht="21" customHeight="1" x14ac:dyDescent="0.25">
      <c r="A33" s="1064"/>
      <c r="B33" s="1076" t="s">
        <v>396</v>
      </c>
      <c r="C33" s="1077"/>
      <c r="D33" s="1192">
        <f>'Build.vs.No-Build'!F55</f>
        <v>44.805698351918288</v>
      </c>
      <c r="E33" s="1192">
        <f>'Build.vs.No-Build'!G55</f>
        <v>44.225172075987416</v>
      </c>
      <c r="F33" s="1192">
        <f>'Build.vs.No-Build'!H55</f>
        <v>43.652167404884558</v>
      </c>
      <c r="G33" s="1192">
        <f>'Build.vs.No-Build'!I55</f>
        <v>43.086586884727716</v>
      </c>
      <c r="H33" s="1192">
        <f>'Build.vs.No-Build'!J55</f>
        <v>42.528334324298818</v>
      </c>
      <c r="I33" s="1192">
        <f>'Build.vs.No-Build'!K55</f>
        <v>41.977314778684011</v>
      </c>
      <c r="J33" s="1192">
        <f>'Build.vs.No-Build'!L55</f>
        <v>41.433434533125826</v>
      </c>
      <c r="K33" s="1192">
        <f>'Build.vs.No-Build'!M55</f>
        <v>40.896601087084662</v>
      </c>
      <c r="L33" s="1192">
        <f>'Build.vs.No-Build'!N55</f>
        <v>40.366723138506735</v>
      </c>
      <c r="M33" s="1192">
        <f>'Build.vs.No-Build'!O55</f>
        <v>39.843710568295869</v>
      </c>
      <c r="N33" s="1192">
        <f>'Build.vs.No-Build'!P55</f>
        <v>39.327474424986427</v>
      </c>
      <c r="O33" s="1192">
        <f>'Build.vs.No-Build'!Q55</f>
        <v>38.817926909614947</v>
      </c>
      <c r="P33" s="1192">
        <f>'Build.vs.No-Build'!R55</f>
        <v>38.314981360787655</v>
      </c>
      <c r="Q33" s="1192">
        <f>'Build.vs.No-Build'!S55</f>
        <v>37.818552239941546</v>
      </c>
      <c r="R33" s="1192">
        <f>'Build.vs.No-Build'!T55</f>
        <v>37.328555116796387</v>
      </c>
      <c r="S33" s="1192">
        <f>'Build.vs.No-Build'!U55</f>
        <v>36.844906654995171</v>
      </c>
      <c r="T33" s="1192">
        <f>'Build.vs.No-Build'!V55</f>
        <v>36.367524597930775</v>
      </c>
      <c r="U33" s="1192">
        <f>'Build.vs.No-Build'!W55</f>
        <v>35.896327754756101</v>
      </c>
      <c r="V33" s="1192">
        <f>'Build.vs.No-Build'!X55</f>
        <v>35.431235986575452</v>
      </c>
      <c r="W33" s="1192">
        <f>'Build.vs.No-Build'!Y55</f>
        <v>34.972170192815007</v>
      </c>
      <c r="X33" s="1192">
        <f>'Build.vs.No-Build'!Z55</f>
        <v>34.519052297769711</v>
      </c>
    </row>
    <row r="34" spans="1:36" s="1066" customFormat="1" ht="21" customHeight="1" x14ac:dyDescent="0.3">
      <c r="A34" s="1064"/>
      <c r="B34" s="1081" t="s">
        <v>140</v>
      </c>
      <c r="C34" s="1082"/>
      <c r="D34" s="1192">
        <f>'Build.vs.No-Build'!F56</f>
        <v>44.962838798751179</v>
      </c>
      <c r="E34" s="1192">
        <f>'Build.vs.No-Build'!G56</f>
        <v>44.498539282954823</v>
      </c>
      <c r="F34" s="1192">
        <f>'Build.vs.No-Build'!H56</f>
        <v>44.039034260703112</v>
      </c>
      <c r="G34" s="1192">
        <f>'Build.vs.No-Build'!I56</f>
        <v>43.584274222643614</v>
      </c>
      <c r="H34" s="1192">
        <f>'Build.vs.No-Build'!J56</f>
        <v>43.134210170672084</v>
      </c>
      <c r="I34" s="1192">
        <f>'Build.vs.No-Build'!K56</f>
        <v>42.688793612653129</v>
      </c>
      <c r="J34" s="1192">
        <f>'Build.vs.No-Build'!L56</f>
        <v>42.247976557195422</v>
      </c>
      <c r="K34" s="1192">
        <f>'Build.vs.No-Build'!M56</f>
        <v>41.811711508480876</v>
      </c>
      <c r="L34" s="1192">
        <f>'Build.vs.No-Build'!N56</f>
        <v>41.379951461147243</v>
      </c>
      <c r="M34" s="1192">
        <f>'Build.vs.No-Build'!O56</f>
        <v>40.952649895223409</v>
      </c>
      <c r="N34" s="1192">
        <f>'Build.vs.No-Build'!P56</f>
        <v>40.529760771117274</v>
      </c>
      <c r="O34" s="1192">
        <f>'Build.vs.No-Build'!Q56</f>
        <v>40.111238524655064</v>
      </c>
      <c r="P34" s="1192">
        <f>'Build.vs.No-Build'!R56</f>
        <v>39.697038062172119</v>
      </c>
      <c r="Q34" s="1192">
        <f>'Build.vs.No-Build'!S56</f>
        <v>39.287114755654216</v>
      </c>
      <c r="R34" s="1192">
        <f>'Build.vs.No-Build'!T56</f>
        <v>38.881424437929155</v>
      </c>
      <c r="S34" s="1192">
        <f>'Build.vs.No-Build'!U56</f>
        <v>38.479923397907996</v>
      </c>
      <c r="T34" s="1192">
        <f>'Build.vs.No-Build'!V56</f>
        <v>38.08256837587534</v>
      </c>
      <c r="U34" s="1192">
        <f>'Build.vs.No-Build'!W56</f>
        <v>37.689316558828324</v>
      </c>
      <c r="V34" s="1192">
        <f>'Build.vs.No-Build'!X56</f>
        <v>37.300125575863852</v>
      </c>
      <c r="W34" s="1192">
        <f>'Build.vs.No-Build'!Y56</f>
        <v>36.914953493613176</v>
      </c>
      <c r="X34" s="1192">
        <f>'Build.vs.No-Build'!Z56</f>
        <v>36.533758811723899</v>
      </c>
    </row>
    <row r="35" spans="1:36" s="1066" customFormat="1" ht="21" customHeight="1" x14ac:dyDescent="0.25">
      <c r="A35" s="1064"/>
      <c r="L35" s="1075"/>
      <c r="M35" s="1089"/>
      <c r="N35" s="1089"/>
      <c r="O35" s="1089"/>
      <c r="P35" s="1089"/>
      <c r="Q35" s="1089"/>
      <c r="R35" s="1089"/>
      <c r="S35" s="1089"/>
      <c r="T35" s="1089"/>
      <c r="U35" s="1089"/>
      <c r="V35" s="1089"/>
      <c r="W35" s="1089"/>
      <c r="X35" s="1089"/>
      <c r="Y35" s="1089"/>
      <c r="Z35" s="1089"/>
      <c r="AA35" s="1089"/>
      <c r="AB35" s="1089"/>
      <c r="AC35" s="1089"/>
      <c r="AD35" s="1089"/>
      <c r="AE35" s="1089"/>
      <c r="AF35" s="1089"/>
    </row>
    <row r="36" spans="1:36" s="1066" customFormat="1" ht="21" customHeight="1" x14ac:dyDescent="0.25">
      <c r="A36" s="1064"/>
      <c r="D36" s="1090"/>
      <c r="E36" s="1090"/>
      <c r="F36" s="1090"/>
      <c r="G36" s="1090"/>
      <c r="H36" s="1090"/>
      <c r="I36" s="1090"/>
      <c r="J36" s="1090"/>
      <c r="K36" s="1090"/>
      <c r="L36" s="1075"/>
      <c r="M36" s="1089"/>
      <c r="N36" s="1089"/>
      <c r="O36" s="1089"/>
      <c r="P36" s="1089"/>
      <c r="Q36" s="1089"/>
      <c r="R36" s="1089"/>
      <c r="S36" s="1089"/>
      <c r="T36" s="1089"/>
      <c r="U36" s="1089"/>
      <c r="V36" s="1089"/>
      <c r="W36" s="1089"/>
      <c r="X36" s="1089"/>
      <c r="Y36" s="1089"/>
      <c r="Z36" s="1089"/>
      <c r="AA36" s="1089"/>
      <c r="AB36" s="1089"/>
      <c r="AC36" s="1089"/>
      <c r="AD36" s="1089"/>
      <c r="AE36" s="1089"/>
      <c r="AF36" s="1089"/>
    </row>
    <row r="37" spans="1:36" s="1066" customFormat="1" ht="31.5" customHeight="1" x14ac:dyDescent="0.5">
      <c r="A37" s="1064"/>
      <c r="B37" s="1092" t="s">
        <v>732</v>
      </c>
      <c r="C37" s="1092"/>
      <c r="D37" s="1092"/>
      <c r="E37" s="1092"/>
      <c r="F37" s="1092"/>
      <c r="G37" s="1092"/>
      <c r="H37" s="1092"/>
      <c r="I37" s="1092"/>
      <c r="J37" s="1092"/>
      <c r="K37" s="1092"/>
      <c r="L37" s="1092"/>
      <c r="M37" s="1092"/>
      <c r="N37" s="1092"/>
      <c r="O37" s="1092"/>
      <c r="P37" s="1092"/>
      <c r="Q37" s="1092"/>
      <c r="R37" s="1092"/>
      <c r="S37" s="1092"/>
      <c r="T37" s="1092"/>
      <c r="U37" s="1092"/>
      <c r="V37" s="1092"/>
      <c r="W37" s="1092"/>
      <c r="X37" s="1092"/>
      <c r="Y37" s="1079"/>
      <c r="Z37" s="1079"/>
      <c r="AA37" s="1079"/>
      <c r="AB37" s="1079"/>
      <c r="AC37" s="1079"/>
      <c r="AD37" s="1079"/>
      <c r="AE37" s="1079"/>
      <c r="AF37" s="1079"/>
      <c r="AG37" s="1064"/>
      <c r="AH37" s="1064"/>
      <c r="AI37" s="1064"/>
      <c r="AJ37" s="1064"/>
    </row>
    <row r="38" spans="1:36" s="1066" customFormat="1" ht="21" customHeight="1" x14ac:dyDescent="0.25">
      <c r="A38" s="1064"/>
      <c r="D38" s="1090"/>
      <c r="E38" s="1090"/>
      <c r="F38" s="1090"/>
      <c r="G38" s="1090"/>
      <c r="H38" s="1090"/>
      <c r="I38" s="1090"/>
      <c r="J38" s="1090"/>
      <c r="K38" s="1090"/>
      <c r="L38" s="1075"/>
      <c r="M38" s="1089"/>
      <c r="N38" s="1089"/>
      <c r="O38" s="1089"/>
      <c r="P38" s="1089"/>
      <c r="Q38" s="1089"/>
      <c r="R38" s="1089"/>
      <c r="S38" s="1089"/>
      <c r="T38" s="1089"/>
      <c r="U38" s="1089"/>
      <c r="V38" s="1089"/>
      <c r="W38" s="1089"/>
      <c r="X38" s="1089"/>
      <c r="Y38" s="1079"/>
      <c r="Z38" s="1079"/>
      <c r="AA38" s="1079"/>
      <c r="AB38" s="1079"/>
      <c r="AC38" s="1079"/>
      <c r="AD38" s="1079"/>
      <c r="AE38" s="1079"/>
      <c r="AF38" s="1079"/>
      <c r="AG38" s="1064"/>
      <c r="AH38" s="1064"/>
      <c r="AI38" s="1064"/>
      <c r="AJ38" s="1064"/>
    </row>
    <row r="39" spans="1:36" s="1066" customFormat="1" ht="27.75" thickBot="1" x14ac:dyDescent="0.5">
      <c r="A39" s="1064"/>
      <c r="C39" s="1093"/>
      <c r="D39" s="1841" t="s">
        <v>733</v>
      </c>
      <c r="E39" s="1841"/>
      <c r="F39" s="1841"/>
      <c r="G39" s="1841"/>
      <c r="H39" s="1841"/>
      <c r="I39" s="1841"/>
      <c r="J39" s="1841"/>
      <c r="K39" s="1841"/>
      <c r="L39" s="1841"/>
      <c r="M39" s="1841"/>
      <c r="N39" s="1841"/>
      <c r="O39" s="1841"/>
      <c r="P39" s="1841"/>
      <c r="Q39" s="1841"/>
      <c r="R39" s="1841"/>
      <c r="S39" s="1841"/>
      <c r="T39" s="1841"/>
      <c r="U39" s="1841"/>
      <c r="V39" s="1841"/>
      <c r="W39" s="1841"/>
      <c r="X39" s="1841"/>
      <c r="Y39" s="1064"/>
      <c r="Z39" s="1064"/>
      <c r="AA39" s="1064"/>
      <c r="AB39" s="1064"/>
      <c r="AC39" s="1064"/>
      <c r="AD39" s="1064"/>
      <c r="AE39" s="1064"/>
      <c r="AF39" s="1064"/>
      <c r="AG39" s="1064"/>
      <c r="AH39" s="1064"/>
      <c r="AI39" s="1064"/>
      <c r="AJ39" s="1064"/>
    </row>
    <row r="40" spans="1:36" s="1066" customFormat="1" ht="21" customHeight="1" thickBot="1" x14ac:dyDescent="0.3">
      <c r="A40" s="1064"/>
      <c r="C40" s="1193" t="s">
        <v>117</v>
      </c>
      <c r="D40" s="712">
        <v>2023</v>
      </c>
      <c r="E40" s="417">
        <f>D40+1</f>
        <v>2024</v>
      </c>
      <c r="F40" s="417">
        <f t="shared" ref="F40:X40" si="4">E40+1</f>
        <v>2025</v>
      </c>
      <c r="G40" s="417">
        <f t="shared" si="4"/>
        <v>2026</v>
      </c>
      <c r="H40" s="417">
        <f t="shared" si="4"/>
        <v>2027</v>
      </c>
      <c r="I40" s="417">
        <f t="shared" si="4"/>
        <v>2028</v>
      </c>
      <c r="J40" s="417">
        <f t="shared" si="4"/>
        <v>2029</v>
      </c>
      <c r="K40" s="417">
        <f t="shared" si="4"/>
        <v>2030</v>
      </c>
      <c r="L40" s="417">
        <f t="shared" si="4"/>
        <v>2031</v>
      </c>
      <c r="M40" s="417">
        <f t="shared" si="4"/>
        <v>2032</v>
      </c>
      <c r="N40" s="417">
        <f t="shared" si="4"/>
        <v>2033</v>
      </c>
      <c r="O40" s="417">
        <f t="shared" si="4"/>
        <v>2034</v>
      </c>
      <c r="P40" s="417">
        <f t="shared" si="4"/>
        <v>2035</v>
      </c>
      <c r="Q40" s="417">
        <f t="shared" si="4"/>
        <v>2036</v>
      </c>
      <c r="R40" s="417">
        <f t="shared" si="4"/>
        <v>2037</v>
      </c>
      <c r="S40" s="417">
        <f t="shared" si="4"/>
        <v>2038</v>
      </c>
      <c r="T40" s="417">
        <f t="shared" si="4"/>
        <v>2039</v>
      </c>
      <c r="U40" s="417">
        <f t="shared" si="4"/>
        <v>2040</v>
      </c>
      <c r="V40" s="417">
        <f t="shared" si="4"/>
        <v>2041</v>
      </c>
      <c r="W40" s="417">
        <f t="shared" si="4"/>
        <v>2042</v>
      </c>
      <c r="X40" s="713">
        <f t="shared" si="4"/>
        <v>2043</v>
      </c>
      <c r="Y40" s="1064"/>
      <c r="Z40" s="1064"/>
      <c r="AA40" s="1064"/>
      <c r="AB40" s="1064"/>
      <c r="AC40" s="1064"/>
      <c r="AD40" s="1064"/>
      <c r="AE40" s="1064"/>
      <c r="AF40" s="1064"/>
      <c r="AG40" s="1064"/>
      <c r="AH40" s="1064"/>
      <c r="AI40" s="1064"/>
      <c r="AJ40" s="1064"/>
    </row>
    <row r="41" spans="1:36" s="1066" customFormat="1" ht="21" customHeight="1" x14ac:dyDescent="0.35">
      <c r="A41" s="1064"/>
      <c r="B41" s="1070" t="s">
        <v>394</v>
      </c>
      <c r="C41" s="1172" t="s">
        <v>734</v>
      </c>
      <c r="D41" s="1640">
        <f>VLOOKUP(MROUND(D24,5),'EmissRates MOVES2014'!$C$5:$U$20,4)</f>
        <v>382.2860812431698</v>
      </c>
      <c r="E41" s="1641">
        <f>VLOOKUP(MROUND(E24,5),'EmissRates MOVES2014'!$C$5:$U$20,4)</f>
        <v>382.2860812431698</v>
      </c>
      <c r="F41" s="1641">
        <f>VLOOKUP(MROUND(F24,5),'EmissRates MOVES2014'!$Z$5:$AC$20,4)</f>
        <v>306.53428897569142</v>
      </c>
      <c r="G41" s="1641">
        <f>VLOOKUP(MROUND(G24,5),'EmissRates MOVES2014'!$Z$5:$AC$20,4)</f>
        <v>306.53428897569142</v>
      </c>
      <c r="H41" s="1641">
        <f>VLOOKUP(MROUND(H24,5),'EmissRates MOVES2014'!$Z$5:$AC$20,4)</f>
        <v>306.53428897569142</v>
      </c>
      <c r="I41" s="1641">
        <f>VLOOKUP(MROUND(I24,5),'EmissRates MOVES2014'!$Z$5:$AC$20,4)</f>
        <v>306.53428897569142</v>
      </c>
      <c r="J41" s="1641">
        <f>VLOOKUP(MROUND(J24,5),'EmissRates MOVES2014'!$Z$5:$AC$20,4)</f>
        <v>313.2403340411513</v>
      </c>
      <c r="K41" s="1641">
        <f>VLOOKUP(MROUND(K24,5),'EmissRates MOVES2014'!$Z$5:$AC$20,4)</f>
        <v>313.2403340411513</v>
      </c>
      <c r="L41" s="1641">
        <f>VLOOKUP(MROUND(L24,5),'EmissRates MOVES2014'!$Z$5:$AC$20,4)</f>
        <v>313.2403340411513</v>
      </c>
      <c r="M41" s="1641">
        <f>VLOOKUP(MROUND(M24,5),'EmissRates MOVES2014'!$Z$5:$AC$20,4)</f>
        <v>313.2403340411513</v>
      </c>
      <c r="N41" s="1641">
        <f>VLOOKUP(MROUND(N24,5),'EmissRates MOVES2014'!$Z$5:$AC$20,4)</f>
        <v>313.2403340411513</v>
      </c>
      <c r="O41" s="1641">
        <f>VLOOKUP(MROUND(O24,5),'EmissRates MOVES2014'!$Z$5:$AC$20,4)</f>
        <v>336.07423757965665</v>
      </c>
      <c r="P41" s="1641">
        <f>VLOOKUP(MROUND(P24,5),'EmissRates MOVES2014'!$Z$5:$AC$20,4)</f>
        <v>336.07423757965665</v>
      </c>
      <c r="Q41" s="1641">
        <f>VLOOKUP(MROUND(Q24,5),'EmissRates MOVES2014'!$Z$5:$AC$20,4)</f>
        <v>336.07423757965665</v>
      </c>
      <c r="R41" s="1641">
        <f>VLOOKUP(MROUND(R24,5),'EmissRates MOVES2014'!$Z$5:$AC$20,4)</f>
        <v>336.07423757965665</v>
      </c>
      <c r="S41" s="1641">
        <f>VLOOKUP(MROUND(S24,5),'EmissRates MOVES2014'!$Z$5:$AC$20,4)</f>
        <v>336.07423757965665</v>
      </c>
      <c r="T41" s="1641">
        <f>VLOOKUP(MROUND(T24,5),'EmissRates MOVES2014'!$Z$5:$AC$20,4)</f>
        <v>336.07423757965665</v>
      </c>
      <c r="U41" s="1641">
        <f>VLOOKUP(MROUND(U24,5),'EmissRates MOVES2014'!$Z$5:$AC$20,4)</f>
        <v>336.07423757965665</v>
      </c>
      <c r="V41" s="1641">
        <f>VLOOKUP(MROUND(V24,5),'EmissRates MOVES2014'!$Z$5:$AC$20,4)</f>
        <v>375.47060845451887</v>
      </c>
      <c r="W41" s="1641">
        <f>VLOOKUP(MROUND(W24,5),'EmissRates MOVES2014'!$Z$5:$AC$20,4)</f>
        <v>375.47060845451887</v>
      </c>
      <c r="X41" s="1642">
        <f>VLOOKUP(MROUND(X24,5),'EmissRates MOVES2014'!$Z$5:$AC$20,4)</f>
        <v>375.47060845451887</v>
      </c>
      <c r="Y41" s="1064"/>
      <c r="Z41" s="1064"/>
      <c r="AA41" s="1064"/>
      <c r="AB41" s="1064"/>
      <c r="AC41" s="1064"/>
      <c r="AD41" s="1064"/>
      <c r="AE41" s="1064"/>
      <c r="AF41" s="1064"/>
      <c r="AG41" s="1064"/>
      <c r="AH41" s="1064"/>
      <c r="AI41" s="1064"/>
      <c r="AJ41" s="1064"/>
    </row>
    <row r="42" spans="1:36" s="1066" customFormat="1" ht="21" customHeight="1" x14ac:dyDescent="0.35">
      <c r="A42" s="1064"/>
      <c r="B42" s="1076" t="s">
        <v>395</v>
      </c>
      <c r="C42" s="1172" t="s">
        <v>734</v>
      </c>
      <c r="D42" s="1643">
        <f>VLOOKUP(MROUND(D25,5),'EmissRates MOVES2014'!$C$5:$U$20,4)</f>
        <v>382.2860812431698</v>
      </c>
      <c r="E42" s="1194">
        <f>VLOOKUP(MROUND(E25,5),'EmissRates MOVES2014'!$C$5:$U$20,4)</f>
        <v>382.2860812431698</v>
      </c>
      <c r="F42" s="1194">
        <f>VLOOKUP(MROUND(F25,5),'EmissRates MOVES2014'!$Z$5:$AC$20,4)</f>
        <v>306.53428897569142</v>
      </c>
      <c r="G42" s="1194">
        <f>VLOOKUP(MROUND(G25,5),'EmissRates MOVES2014'!$Z$5:$AC$20,4)</f>
        <v>306.53428897569142</v>
      </c>
      <c r="H42" s="1194">
        <f>VLOOKUP(MROUND(H25,5),'EmissRates MOVES2014'!$Z$5:$AC$20,4)</f>
        <v>306.53428897569142</v>
      </c>
      <c r="I42" s="1194">
        <f>VLOOKUP(MROUND(I25,5),'EmissRates MOVES2014'!$Z$5:$AC$20,4)</f>
        <v>306.53428897569142</v>
      </c>
      <c r="J42" s="1194">
        <f>VLOOKUP(MROUND(J25,5),'EmissRates MOVES2014'!$Z$5:$AC$20,4)</f>
        <v>313.2403340411513</v>
      </c>
      <c r="K42" s="1194">
        <f>VLOOKUP(MROUND(K25,5),'EmissRates MOVES2014'!$Z$5:$AC$20,4)</f>
        <v>313.2403340411513</v>
      </c>
      <c r="L42" s="1194">
        <f>VLOOKUP(MROUND(L25,5),'EmissRates MOVES2014'!$Z$5:$AC$20,4)</f>
        <v>313.2403340411513</v>
      </c>
      <c r="M42" s="1194">
        <f>VLOOKUP(MROUND(M25,5),'EmissRates MOVES2014'!$Z$5:$AC$20,4)</f>
        <v>313.2403340411513</v>
      </c>
      <c r="N42" s="1194">
        <f>VLOOKUP(MROUND(N25,5),'EmissRates MOVES2014'!$Z$5:$AC$20,4)</f>
        <v>313.2403340411513</v>
      </c>
      <c r="O42" s="1194">
        <f>VLOOKUP(MROUND(O25,5),'EmissRates MOVES2014'!$Z$5:$AC$20,4)</f>
        <v>336.07423757965665</v>
      </c>
      <c r="P42" s="1194">
        <f>VLOOKUP(MROUND(P25,5),'EmissRates MOVES2014'!$Z$5:$AC$20,4)</f>
        <v>336.07423757965665</v>
      </c>
      <c r="Q42" s="1194">
        <f>VLOOKUP(MROUND(Q25,5),'EmissRates MOVES2014'!$Z$5:$AC$20,4)</f>
        <v>336.07423757965665</v>
      </c>
      <c r="R42" s="1194">
        <f>VLOOKUP(MROUND(R25,5),'EmissRates MOVES2014'!$Z$5:$AC$20,4)</f>
        <v>336.07423757965665</v>
      </c>
      <c r="S42" s="1194">
        <f>VLOOKUP(MROUND(S25,5),'EmissRates MOVES2014'!$Z$5:$AC$20,4)</f>
        <v>336.07423757965665</v>
      </c>
      <c r="T42" s="1194">
        <f>VLOOKUP(MROUND(T25,5),'EmissRates MOVES2014'!$Z$5:$AC$20,4)</f>
        <v>336.07423757965665</v>
      </c>
      <c r="U42" s="1194">
        <f>VLOOKUP(MROUND(U25,5),'EmissRates MOVES2014'!$Z$5:$AC$20,4)</f>
        <v>336.07423757965665</v>
      </c>
      <c r="V42" s="1194">
        <f>VLOOKUP(MROUND(V25,5),'EmissRates MOVES2014'!$Z$5:$AC$20,4)</f>
        <v>375.47060845451887</v>
      </c>
      <c r="W42" s="1194">
        <f>VLOOKUP(MROUND(W25,5),'EmissRates MOVES2014'!$Z$5:$AC$20,4)</f>
        <v>375.47060845451887</v>
      </c>
      <c r="X42" s="1644">
        <f>VLOOKUP(MROUND(X25,5),'EmissRates MOVES2014'!$Z$5:$AC$20,4)</f>
        <v>375.47060845451887</v>
      </c>
      <c r="Y42" s="1064"/>
      <c r="Z42" s="1064"/>
      <c r="AA42" s="1064"/>
      <c r="AB42" s="1064"/>
      <c r="AC42" s="1064"/>
      <c r="AD42" s="1064"/>
      <c r="AE42" s="1064"/>
      <c r="AF42" s="1064"/>
      <c r="AG42" s="1064"/>
      <c r="AH42" s="1064"/>
      <c r="AI42" s="1064"/>
      <c r="AJ42" s="1064"/>
    </row>
    <row r="43" spans="1:36" s="1066" customFormat="1" ht="21" customHeight="1" x14ac:dyDescent="0.35">
      <c r="A43" s="1064"/>
      <c r="B43" s="1076" t="s">
        <v>396</v>
      </c>
      <c r="C43" s="1172" t="s">
        <v>734</v>
      </c>
      <c r="D43" s="1643">
        <f>VLOOKUP(MROUND(D26,5),'EmissRates MOVES2014'!$C$5:$U$20,4)</f>
        <v>382.2860812431698</v>
      </c>
      <c r="E43" s="1194">
        <f>VLOOKUP(MROUND(E26,5),'EmissRates MOVES2014'!$C$5:$U$20,4)</f>
        <v>382.2860812431698</v>
      </c>
      <c r="F43" s="1194">
        <f>VLOOKUP(MROUND(F26,5),'EmissRates MOVES2014'!$Z$5:$AC$20,4)</f>
        <v>306.53428897569142</v>
      </c>
      <c r="G43" s="1194">
        <f>VLOOKUP(MROUND(G26,5),'EmissRates MOVES2014'!$Z$5:$AC$20,4)</f>
        <v>306.53428897569142</v>
      </c>
      <c r="H43" s="1194">
        <f>VLOOKUP(MROUND(H26,5),'EmissRates MOVES2014'!$Z$5:$AC$20,4)</f>
        <v>306.53428897569142</v>
      </c>
      <c r="I43" s="1194">
        <f>VLOOKUP(MROUND(I26,5),'EmissRates MOVES2014'!$Z$5:$AC$20,4)</f>
        <v>306.53428897569142</v>
      </c>
      <c r="J43" s="1194">
        <f>VLOOKUP(MROUND(J26,5),'EmissRates MOVES2014'!$Z$5:$AC$20,4)</f>
        <v>313.2403340411513</v>
      </c>
      <c r="K43" s="1194">
        <f>VLOOKUP(MROUND(K26,5),'EmissRates MOVES2014'!$Z$5:$AC$20,4)</f>
        <v>313.2403340411513</v>
      </c>
      <c r="L43" s="1194">
        <f>VLOOKUP(MROUND(L26,5),'EmissRates MOVES2014'!$Z$5:$AC$20,4)</f>
        <v>313.2403340411513</v>
      </c>
      <c r="M43" s="1194">
        <f>VLOOKUP(MROUND(M26,5),'EmissRates MOVES2014'!$Z$5:$AC$20,4)</f>
        <v>313.2403340411513</v>
      </c>
      <c r="N43" s="1194">
        <f>VLOOKUP(MROUND(N26,5),'EmissRates MOVES2014'!$Z$5:$AC$20,4)</f>
        <v>313.2403340411513</v>
      </c>
      <c r="O43" s="1194">
        <f>VLOOKUP(MROUND(O26,5),'EmissRates MOVES2014'!$Z$5:$AC$20,4)</f>
        <v>336.07423757965665</v>
      </c>
      <c r="P43" s="1194">
        <f>VLOOKUP(MROUND(P26,5),'EmissRates MOVES2014'!$Z$5:$AC$20,4)</f>
        <v>336.07423757965665</v>
      </c>
      <c r="Q43" s="1194">
        <f>VLOOKUP(MROUND(Q26,5),'EmissRates MOVES2014'!$Z$5:$AC$20,4)</f>
        <v>336.07423757965665</v>
      </c>
      <c r="R43" s="1194">
        <f>VLOOKUP(MROUND(R26,5),'EmissRates MOVES2014'!$Z$5:$AC$20,4)</f>
        <v>336.07423757965665</v>
      </c>
      <c r="S43" s="1194">
        <f>VLOOKUP(MROUND(S26,5),'EmissRates MOVES2014'!$Z$5:$AC$20,4)</f>
        <v>336.07423757965665</v>
      </c>
      <c r="T43" s="1194">
        <f>VLOOKUP(MROUND(T26,5),'EmissRates MOVES2014'!$Z$5:$AC$20,4)</f>
        <v>336.07423757965665</v>
      </c>
      <c r="U43" s="1194">
        <f>VLOOKUP(MROUND(U26,5),'EmissRates MOVES2014'!$Z$5:$AC$20,4)</f>
        <v>336.07423757965665</v>
      </c>
      <c r="V43" s="1194">
        <f>VLOOKUP(MROUND(V26,5),'EmissRates MOVES2014'!$Z$5:$AC$20,4)</f>
        <v>375.47060845451887</v>
      </c>
      <c r="W43" s="1194">
        <f>VLOOKUP(MROUND(W26,5),'EmissRates MOVES2014'!$Z$5:$AC$20,4)</f>
        <v>375.47060845451887</v>
      </c>
      <c r="X43" s="1644">
        <f>VLOOKUP(MROUND(X26,5),'EmissRates MOVES2014'!$Z$5:$AC$20,4)</f>
        <v>375.47060845451887</v>
      </c>
      <c r="Y43" s="1064"/>
      <c r="Z43" s="1064"/>
      <c r="AA43" s="1064"/>
      <c r="AB43" s="1064"/>
      <c r="AC43" s="1064"/>
      <c r="AD43" s="1064"/>
      <c r="AE43" s="1064"/>
      <c r="AF43" s="1064"/>
      <c r="AG43" s="1064"/>
      <c r="AH43" s="1064"/>
      <c r="AI43" s="1064"/>
      <c r="AJ43" s="1064"/>
    </row>
    <row r="44" spans="1:36" s="1066" customFormat="1" ht="21" customHeight="1" thickBot="1" x14ac:dyDescent="0.4">
      <c r="A44" s="1064"/>
      <c r="B44" s="1081" t="s">
        <v>140</v>
      </c>
      <c r="C44" s="1173" t="s">
        <v>734</v>
      </c>
      <c r="D44" s="1645">
        <f>VLOOKUP(MROUND(D27,5),'EmissRates MOVES2014'!$C$5:$U$20,19)</f>
        <v>1753.8589986136062</v>
      </c>
      <c r="E44" s="1195">
        <f>VLOOKUP(MROUND(E27,5),'EmissRates MOVES2014'!$C$5:$U$20,19)</f>
        <v>1796.4658358088398</v>
      </c>
      <c r="F44" s="1195">
        <f>VLOOKUP(MROUND(F27,5),'EmissRates MOVES2014'!$Z$5:$AR$20,19)</f>
        <v>1650.1137686619206</v>
      </c>
      <c r="G44" s="1195">
        <f>VLOOKUP(MROUND(G27,5),'EmissRates MOVES2014'!$Z$5:$AR$20,19)</f>
        <v>1650.1137686619206</v>
      </c>
      <c r="H44" s="1195">
        <f>VLOOKUP(MROUND(H27,5),'EmissRates MOVES2014'!$Z$5:$AR$20,19)</f>
        <v>1650.1137686619206</v>
      </c>
      <c r="I44" s="1195">
        <f>VLOOKUP(MROUND(I27,5),'EmissRates MOVES2014'!$Z$5:$AR$20,19)</f>
        <v>1650.1137686619206</v>
      </c>
      <c r="J44" s="1195">
        <f>VLOOKUP(MROUND(J27,5),'EmissRates MOVES2014'!$Z$5:$AR$20,19)</f>
        <v>1916.1519798684085</v>
      </c>
      <c r="K44" s="1195">
        <f>VLOOKUP(MROUND(K27,5),'EmissRates MOVES2014'!$Z$5:$AR$20,19)</f>
        <v>1916.1519798684085</v>
      </c>
      <c r="L44" s="1195">
        <f>VLOOKUP(MROUND(L27,5),'EmissRates MOVES2014'!$Z$5:$AR$20,19)</f>
        <v>1916.1519798684085</v>
      </c>
      <c r="M44" s="1195">
        <f>VLOOKUP(MROUND(M27,5),'EmissRates MOVES2014'!$Z$5:$AR$20,19)</f>
        <v>1916.1519798684085</v>
      </c>
      <c r="N44" s="1195">
        <f>VLOOKUP(MROUND(N27,5),'EmissRates MOVES2014'!$Z$5:$AR$20,19)</f>
        <v>1916.1519798684085</v>
      </c>
      <c r="O44" s="1195">
        <f>VLOOKUP(MROUND(O27,5),'EmissRates MOVES2014'!$Z$5:$AR$20,19)</f>
        <v>1958.5733906757021</v>
      </c>
      <c r="P44" s="1195">
        <f>VLOOKUP(MROUND(P27,5),'EmissRates MOVES2014'!$Z$5:$AR$20,19)</f>
        <v>1958.5733906757021</v>
      </c>
      <c r="Q44" s="1195">
        <f>VLOOKUP(MROUND(Q27,5),'EmissRates MOVES2014'!$Z$5:$AR$20,19)</f>
        <v>1958.5733906757021</v>
      </c>
      <c r="R44" s="1195">
        <f>VLOOKUP(MROUND(R27,5),'EmissRates MOVES2014'!$Z$5:$AR$20,19)</f>
        <v>1958.5733906757021</v>
      </c>
      <c r="S44" s="1195">
        <f>VLOOKUP(MROUND(S27,5),'EmissRates MOVES2014'!$Z$5:$AR$20,19)</f>
        <v>1958.5733906757021</v>
      </c>
      <c r="T44" s="1195">
        <f>VLOOKUP(MROUND(T27,5),'EmissRates MOVES2014'!$Z$5:$AR$20,19)</f>
        <v>1958.5733906757021</v>
      </c>
      <c r="U44" s="1195">
        <f>VLOOKUP(MROUND(U27,5),'EmissRates MOVES2014'!$Z$5:$AR$20,19)</f>
        <v>2112.61866488034</v>
      </c>
      <c r="V44" s="1195">
        <f>VLOOKUP(MROUND(V27,5),'EmissRates MOVES2014'!$Z$5:$AR$20,19)</f>
        <v>2112.61866488034</v>
      </c>
      <c r="W44" s="1195">
        <f>VLOOKUP(MROUND(W27,5),'EmissRates MOVES2014'!$Z$5:$AR$20,19)</f>
        <v>2112.61866488034</v>
      </c>
      <c r="X44" s="1646">
        <f>VLOOKUP(MROUND(X27,5),'EmissRates MOVES2014'!$Z$5:$AR$20,19)</f>
        <v>2112.61866488034</v>
      </c>
      <c r="Y44" s="1064"/>
      <c r="Z44" s="1064"/>
      <c r="AA44" s="1064"/>
      <c r="AB44" s="1064"/>
      <c r="AC44" s="1064"/>
      <c r="AD44" s="1064"/>
      <c r="AE44" s="1064"/>
      <c r="AF44" s="1064"/>
      <c r="AG44" s="1064"/>
      <c r="AH44" s="1064"/>
      <c r="AI44" s="1064"/>
      <c r="AJ44" s="1064"/>
    </row>
    <row r="45" spans="1:36" s="1066" customFormat="1" ht="21" customHeight="1" x14ac:dyDescent="0.25">
      <c r="A45" s="1064"/>
      <c r="D45" s="1090"/>
      <c r="E45" s="1090"/>
      <c r="F45" s="1090"/>
      <c r="H45" s="1090"/>
      <c r="I45" s="1090"/>
      <c r="J45" s="1090"/>
      <c r="Y45" s="1064"/>
      <c r="Z45" s="1064"/>
      <c r="AA45" s="1064"/>
      <c r="AB45" s="1064"/>
      <c r="AC45" s="1064"/>
      <c r="AD45" s="1064"/>
      <c r="AE45" s="1064"/>
      <c r="AF45" s="1064"/>
      <c r="AG45" s="1064"/>
      <c r="AH45" s="1064"/>
      <c r="AI45" s="1064"/>
      <c r="AJ45" s="1064"/>
    </row>
    <row r="46" spans="1:36" s="1066" customFormat="1" ht="27.75" thickBot="1" x14ac:dyDescent="0.5">
      <c r="A46" s="1064"/>
      <c r="B46" s="1093"/>
      <c r="C46" s="1093"/>
      <c r="D46" s="1841" t="s">
        <v>735</v>
      </c>
      <c r="E46" s="1841"/>
      <c r="F46" s="1841"/>
      <c r="G46" s="1841"/>
      <c r="H46" s="1841"/>
      <c r="I46" s="1841"/>
      <c r="J46" s="1841"/>
      <c r="K46" s="1841"/>
      <c r="L46" s="1841"/>
      <c r="M46" s="1841"/>
      <c r="N46" s="1841"/>
      <c r="O46" s="1841"/>
      <c r="P46" s="1841"/>
      <c r="Q46" s="1841"/>
      <c r="R46" s="1841"/>
      <c r="S46" s="1841"/>
      <c r="T46" s="1841"/>
      <c r="U46" s="1841"/>
      <c r="V46" s="1841"/>
      <c r="W46" s="1841"/>
      <c r="X46" s="1841"/>
      <c r="Y46" s="1064"/>
      <c r="Z46" s="1064"/>
      <c r="AA46" s="1064"/>
      <c r="AB46" s="1064"/>
      <c r="AC46" s="1064"/>
      <c r="AD46" s="1064"/>
      <c r="AE46" s="1064"/>
      <c r="AF46" s="1064"/>
      <c r="AG46" s="1064"/>
      <c r="AH46" s="1064"/>
      <c r="AI46" s="1064"/>
      <c r="AJ46" s="1064"/>
    </row>
    <row r="47" spans="1:36" s="1066" customFormat="1" ht="21" customHeight="1" thickBot="1" x14ac:dyDescent="0.3">
      <c r="A47" s="1064"/>
      <c r="C47" s="1193" t="s">
        <v>117</v>
      </c>
      <c r="D47" s="712">
        <v>2023</v>
      </c>
      <c r="E47" s="417">
        <f>D47+1</f>
        <v>2024</v>
      </c>
      <c r="F47" s="417">
        <f t="shared" ref="F47:X47" si="5">E47+1</f>
        <v>2025</v>
      </c>
      <c r="G47" s="417">
        <f t="shared" si="5"/>
        <v>2026</v>
      </c>
      <c r="H47" s="417">
        <f t="shared" si="5"/>
        <v>2027</v>
      </c>
      <c r="I47" s="417">
        <f t="shared" si="5"/>
        <v>2028</v>
      </c>
      <c r="J47" s="417">
        <f t="shared" si="5"/>
        <v>2029</v>
      </c>
      <c r="K47" s="417">
        <f t="shared" si="5"/>
        <v>2030</v>
      </c>
      <c r="L47" s="417">
        <f t="shared" si="5"/>
        <v>2031</v>
      </c>
      <c r="M47" s="417">
        <f t="shared" si="5"/>
        <v>2032</v>
      </c>
      <c r="N47" s="417">
        <f t="shared" si="5"/>
        <v>2033</v>
      </c>
      <c r="O47" s="417">
        <f t="shared" si="5"/>
        <v>2034</v>
      </c>
      <c r="P47" s="417">
        <f t="shared" si="5"/>
        <v>2035</v>
      </c>
      <c r="Q47" s="417">
        <f t="shared" si="5"/>
        <v>2036</v>
      </c>
      <c r="R47" s="417">
        <f t="shared" si="5"/>
        <v>2037</v>
      </c>
      <c r="S47" s="417">
        <f t="shared" si="5"/>
        <v>2038</v>
      </c>
      <c r="T47" s="417">
        <f t="shared" si="5"/>
        <v>2039</v>
      </c>
      <c r="U47" s="417">
        <f t="shared" si="5"/>
        <v>2040</v>
      </c>
      <c r="V47" s="417">
        <f t="shared" si="5"/>
        <v>2041</v>
      </c>
      <c r="W47" s="417">
        <f t="shared" si="5"/>
        <v>2042</v>
      </c>
      <c r="X47" s="713">
        <f t="shared" si="5"/>
        <v>2043</v>
      </c>
      <c r="Y47" s="1099"/>
      <c r="Z47" s="1099"/>
      <c r="AA47" s="1099"/>
      <c r="AB47" s="1099"/>
      <c r="AC47" s="1099"/>
      <c r="AD47" s="1099"/>
      <c r="AE47" s="1099"/>
      <c r="AF47" s="1099"/>
      <c r="AG47" s="1064"/>
      <c r="AH47" s="1064"/>
      <c r="AI47" s="1064"/>
      <c r="AJ47" s="1064"/>
    </row>
    <row r="48" spans="1:36" s="1066" customFormat="1" ht="21" customHeight="1" x14ac:dyDescent="0.35">
      <c r="A48" s="1064"/>
      <c r="B48" s="1070" t="s">
        <v>394</v>
      </c>
      <c r="C48" s="1171" t="s">
        <v>734</v>
      </c>
      <c r="D48" s="1194">
        <f>VLOOKUP(MROUND(D31,5),'EmissRates MOVES2014'!$C$5:$H$20,4)</f>
        <v>376.39948979972877</v>
      </c>
      <c r="E48" s="1194">
        <f>VLOOKUP(MROUND(E31,5),'EmissRates MOVES2014'!$C$5:$H$20,4)</f>
        <v>376.39948979972877</v>
      </c>
      <c r="F48" s="1194">
        <f>VLOOKUP(MROUND(F31,5),'EmissRates MOVES2014'!$Z$5:$AC$20,4)</f>
        <v>296.86256076923775</v>
      </c>
      <c r="G48" s="1194">
        <f>VLOOKUP(MROUND(G31,5),'EmissRates MOVES2014'!$Z$5:$AC$20,4)</f>
        <v>296.86256076923775</v>
      </c>
      <c r="H48" s="1194">
        <f>VLOOKUP(MROUND(H31,5),'EmissRates MOVES2014'!$Z$5:$AC$20,4)</f>
        <v>296.86256076923775</v>
      </c>
      <c r="I48" s="1194">
        <f>VLOOKUP(MROUND(I31,5),'EmissRates MOVES2014'!$Z$5:$AC$20,4)</f>
        <v>301.50525731229624</v>
      </c>
      <c r="J48" s="1194">
        <f>VLOOKUP(MROUND(J31,5),'EmissRates MOVES2014'!$Z$5:$AC$20,4)</f>
        <v>301.50525731229624</v>
      </c>
      <c r="K48" s="1194">
        <f>VLOOKUP(MROUND(K31,5),'EmissRates MOVES2014'!$Z$5:$AC$20,4)</f>
        <v>301.50525731229624</v>
      </c>
      <c r="L48" s="1194">
        <f>VLOOKUP(MROUND(L31,5),'EmissRates MOVES2014'!$Z$5:$AC$20,4)</f>
        <v>301.50525731229624</v>
      </c>
      <c r="M48" s="1194">
        <f>VLOOKUP(MROUND(M31,5),'EmissRates MOVES2014'!$Z$5:$AC$20,4)</f>
        <v>301.50525731229624</v>
      </c>
      <c r="N48" s="1194">
        <f>VLOOKUP(MROUND(N31,5),'EmissRates MOVES2014'!$Z$5:$AC$20,4)</f>
        <v>301.50525731229624</v>
      </c>
      <c r="O48" s="1194">
        <f>VLOOKUP(MROUND(O31,5),'EmissRates MOVES2014'!$Z$5:$AC$20,4)</f>
        <v>301.50525731229624</v>
      </c>
      <c r="P48" s="1194">
        <f>VLOOKUP(MROUND(P31,5),'EmissRates MOVES2014'!$Z$5:$AC$20,4)</f>
        <v>301.50525731229624</v>
      </c>
      <c r="Q48" s="1194">
        <f>VLOOKUP(MROUND(Q31,5),'EmissRates MOVES2014'!$Z$5:$AC$20,4)</f>
        <v>301.50525731229624</v>
      </c>
      <c r="R48" s="1194">
        <f>VLOOKUP(MROUND(R31,5),'EmissRates MOVES2014'!$Z$5:$AC$20,4)</f>
        <v>306.53428897569142</v>
      </c>
      <c r="S48" s="1194">
        <f>VLOOKUP(MROUND(S31,5),'EmissRates MOVES2014'!$Z$5:$AC$20,4)</f>
        <v>306.53428897569142</v>
      </c>
      <c r="T48" s="1194">
        <f>VLOOKUP(MROUND(T31,5),'EmissRates MOVES2014'!$Z$5:$AC$20,4)</f>
        <v>306.53428897569142</v>
      </c>
      <c r="U48" s="1194">
        <f>VLOOKUP(MROUND(U31,5),'EmissRates MOVES2014'!$Z$5:$AC$20,4)</f>
        <v>306.53428897569142</v>
      </c>
      <c r="V48" s="1194">
        <f>VLOOKUP(MROUND(V31,5),'EmissRates MOVES2014'!$Z$5:$AC$20,4)</f>
        <v>306.53428897569142</v>
      </c>
      <c r="W48" s="1194">
        <f>VLOOKUP(MROUND(W31,5),'EmissRates MOVES2014'!$Z$5:$AC$20,4)</f>
        <v>306.53428897569142</v>
      </c>
      <c r="X48" s="1194">
        <f>VLOOKUP(MROUND(X31,5),'EmissRates MOVES2014'!$Z$5:$AC$20,4)</f>
        <v>306.53428897569142</v>
      </c>
      <c r="Y48" s="1064"/>
      <c r="Z48" s="1064"/>
      <c r="AA48" s="1064"/>
      <c r="AB48" s="1064"/>
      <c r="AC48" s="1064"/>
      <c r="AD48" s="1064"/>
      <c r="AE48" s="1064"/>
      <c r="AF48" s="1064"/>
      <c r="AG48" s="1064"/>
      <c r="AH48" s="1064"/>
      <c r="AI48" s="1064"/>
      <c r="AJ48" s="1064"/>
    </row>
    <row r="49" spans="1:36" s="1066" customFormat="1" ht="21" customHeight="1" x14ac:dyDescent="0.35">
      <c r="A49" s="1064"/>
      <c r="B49" s="1076" t="s">
        <v>395</v>
      </c>
      <c r="C49" s="1172" t="s">
        <v>734</v>
      </c>
      <c r="D49" s="1194">
        <f>VLOOKUP(MROUND(D32,5),'EmissRates MOVES2014'!$C$5:$H$20,4)</f>
        <v>376.39948979972877</v>
      </c>
      <c r="E49" s="1194">
        <f>VLOOKUP(MROUND(E32,5),'EmissRates MOVES2014'!$C$5:$H$20,4)</f>
        <v>376.39948979972877</v>
      </c>
      <c r="F49" s="1194">
        <f>VLOOKUP(MROUND(F32,5),'EmissRates MOVES2014'!$Z$5:$AC$20,4)</f>
        <v>296.86256076923775</v>
      </c>
      <c r="G49" s="1194">
        <f>VLOOKUP(MROUND(G32,5),'EmissRates MOVES2014'!$Z$5:$AC$20,4)</f>
        <v>296.86256076923775</v>
      </c>
      <c r="H49" s="1194">
        <f>VLOOKUP(MROUND(H32,5),'EmissRates MOVES2014'!$Z$5:$AC$20,4)</f>
        <v>296.86256076923775</v>
      </c>
      <c r="I49" s="1194">
        <f>VLOOKUP(MROUND(I32,5),'EmissRates MOVES2014'!$Z$5:$AC$20,4)</f>
        <v>301.50525731229624</v>
      </c>
      <c r="J49" s="1194">
        <f>VLOOKUP(MROUND(J32,5),'EmissRates MOVES2014'!$Z$5:$AC$20,4)</f>
        <v>301.50525731229624</v>
      </c>
      <c r="K49" s="1194">
        <f>VLOOKUP(MROUND(K32,5),'EmissRates MOVES2014'!$Z$5:$AC$20,4)</f>
        <v>301.50525731229624</v>
      </c>
      <c r="L49" s="1194">
        <f>VLOOKUP(MROUND(L32,5),'EmissRates MOVES2014'!$Z$5:$AC$20,4)</f>
        <v>301.50525731229624</v>
      </c>
      <c r="M49" s="1194">
        <f>VLOOKUP(MROUND(M32,5),'EmissRates MOVES2014'!$Z$5:$AC$20,4)</f>
        <v>301.50525731229624</v>
      </c>
      <c r="N49" s="1194">
        <f>VLOOKUP(MROUND(N32,5),'EmissRates MOVES2014'!$Z$5:$AC$20,4)</f>
        <v>301.50525731229624</v>
      </c>
      <c r="O49" s="1194">
        <f>VLOOKUP(MROUND(O32,5),'EmissRates MOVES2014'!$Z$5:$AC$20,4)</f>
        <v>301.50525731229624</v>
      </c>
      <c r="P49" s="1194">
        <f>VLOOKUP(MROUND(P32,5),'EmissRates MOVES2014'!$Z$5:$AC$20,4)</f>
        <v>301.50525731229624</v>
      </c>
      <c r="Q49" s="1194">
        <f>VLOOKUP(MROUND(Q32,5),'EmissRates MOVES2014'!$Z$5:$AC$20,4)</f>
        <v>301.50525731229624</v>
      </c>
      <c r="R49" s="1194">
        <f>VLOOKUP(MROUND(R32,5),'EmissRates MOVES2014'!$Z$5:$AC$20,4)</f>
        <v>306.53428897569142</v>
      </c>
      <c r="S49" s="1194">
        <f>VLOOKUP(MROUND(S32,5),'EmissRates MOVES2014'!$Z$5:$AC$20,4)</f>
        <v>306.53428897569142</v>
      </c>
      <c r="T49" s="1194">
        <f>VLOOKUP(MROUND(T32,5),'EmissRates MOVES2014'!$Z$5:$AC$20,4)</f>
        <v>306.53428897569142</v>
      </c>
      <c r="U49" s="1194">
        <f>VLOOKUP(MROUND(U32,5),'EmissRates MOVES2014'!$Z$5:$AC$20,4)</f>
        <v>306.53428897569142</v>
      </c>
      <c r="V49" s="1194">
        <f>VLOOKUP(MROUND(V32,5),'EmissRates MOVES2014'!$Z$5:$AC$20,4)</f>
        <v>306.53428897569142</v>
      </c>
      <c r="W49" s="1194">
        <f>VLOOKUP(MROUND(W32,5),'EmissRates MOVES2014'!$Z$5:$AC$20,4)</f>
        <v>306.53428897569142</v>
      </c>
      <c r="X49" s="1194">
        <f>VLOOKUP(MROUND(X32,5),'EmissRates MOVES2014'!$Z$5:$AC$20,4)</f>
        <v>306.53428897569142</v>
      </c>
      <c r="Y49" s="1064"/>
      <c r="Z49" s="1064"/>
      <c r="AA49" s="1064"/>
      <c r="AB49" s="1064"/>
      <c r="AC49" s="1064"/>
      <c r="AD49" s="1064"/>
      <c r="AE49" s="1064"/>
      <c r="AF49" s="1064"/>
      <c r="AG49" s="1064"/>
      <c r="AH49" s="1064"/>
      <c r="AI49" s="1064"/>
      <c r="AJ49" s="1064"/>
    </row>
    <row r="50" spans="1:36" s="1066" customFormat="1" ht="21" customHeight="1" x14ac:dyDescent="0.35">
      <c r="A50" s="1064"/>
      <c r="B50" s="1076" t="s">
        <v>396</v>
      </c>
      <c r="C50" s="1172" t="s">
        <v>734</v>
      </c>
      <c r="D50" s="1194">
        <f>VLOOKUP(MROUND(D33,5),'EmissRates MOVES2014'!$C$5:$H$20,4)</f>
        <v>376.39948979972877</v>
      </c>
      <c r="E50" s="1194">
        <f>VLOOKUP(MROUND(E33,5),'EmissRates MOVES2014'!$C$5:$H$20,4)</f>
        <v>376.39948979972877</v>
      </c>
      <c r="F50" s="1194">
        <f>VLOOKUP(MROUND(F33,5),'EmissRates MOVES2014'!$Z$5:$AC$20,4)</f>
        <v>296.86256076923775</v>
      </c>
      <c r="G50" s="1194">
        <f>VLOOKUP(MROUND(G33,5),'EmissRates MOVES2014'!$Z$5:$AC$20,4)</f>
        <v>296.86256076923775</v>
      </c>
      <c r="H50" s="1194">
        <f>VLOOKUP(MROUND(H33,5),'EmissRates MOVES2014'!$Z$5:$AC$20,4)</f>
        <v>296.86256076923775</v>
      </c>
      <c r="I50" s="1194">
        <f>VLOOKUP(MROUND(I33,5),'EmissRates MOVES2014'!$Z$5:$AC$20,4)</f>
        <v>301.50525731229624</v>
      </c>
      <c r="J50" s="1194">
        <f>VLOOKUP(MROUND(J33,5),'EmissRates MOVES2014'!$Z$5:$AC$20,4)</f>
        <v>301.50525731229624</v>
      </c>
      <c r="K50" s="1194">
        <f>VLOOKUP(MROUND(K33,5),'EmissRates MOVES2014'!$Z$5:$AC$20,4)</f>
        <v>301.50525731229624</v>
      </c>
      <c r="L50" s="1194">
        <f>VLOOKUP(MROUND(L33,5),'EmissRates MOVES2014'!$Z$5:$AC$20,4)</f>
        <v>301.50525731229624</v>
      </c>
      <c r="M50" s="1194">
        <f>VLOOKUP(MROUND(M33,5),'EmissRates MOVES2014'!$Z$5:$AC$20,4)</f>
        <v>301.50525731229624</v>
      </c>
      <c r="N50" s="1194">
        <f>VLOOKUP(MROUND(N33,5),'EmissRates MOVES2014'!$Z$5:$AC$20,4)</f>
        <v>301.50525731229624</v>
      </c>
      <c r="O50" s="1194">
        <f>VLOOKUP(MROUND(O33,5),'EmissRates MOVES2014'!$Z$5:$AC$20,4)</f>
        <v>301.50525731229624</v>
      </c>
      <c r="P50" s="1194">
        <f>VLOOKUP(MROUND(P33,5),'EmissRates MOVES2014'!$Z$5:$AC$20,4)</f>
        <v>301.50525731229624</v>
      </c>
      <c r="Q50" s="1194">
        <f>VLOOKUP(MROUND(Q33,5),'EmissRates MOVES2014'!$Z$5:$AC$20,4)</f>
        <v>301.50525731229624</v>
      </c>
      <c r="R50" s="1194">
        <f>VLOOKUP(MROUND(R33,5),'EmissRates MOVES2014'!$Z$5:$AC$20,4)</f>
        <v>306.53428897569142</v>
      </c>
      <c r="S50" s="1194">
        <f>VLOOKUP(MROUND(S33,5),'EmissRates MOVES2014'!$Z$5:$AC$20,4)</f>
        <v>306.53428897569142</v>
      </c>
      <c r="T50" s="1194">
        <f>VLOOKUP(MROUND(T33,5),'EmissRates MOVES2014'!$Z$5:$AC$20,4)</f>
        <v>306.53428897569142</v>
      </c>
      <c r="U50" s="1194">
        <f>VLOOKUP(MROUND(U33,5),'EmissRates MOVES2014'!$Z$5:$AC$20,4)</f>
        <v>306.53428897569142</v>
      </c>
      <c r="V50" s="1194">
        <f>VLOOKUP(MROUND(V33,5),'EmissRates MOVES2014'!$Z$5:$AC$20,4)</f>
        <v>306.53428897569142</v>
      </c>
      <c r="W50" s="1194">
        <f>VLOOKUP(MROUND(W33,5),'EmissRates MOVES2014'!$Z$5:$AC$20,4)</f>
        <v>306.53428897569142</v>
      </c>
      <c r="X50" s="1194">
        <f>VLOOKUP(MROUND(X33,5),'EmissRates MOVES2014'!$Z$5:$AC$20,4)</f>
        <v>306.53428897569142</v>
      </c>
      <c r="Y50" s="1064"/>
      <c r="Z50" s="1064"/>
      <c r="AA50" s="1064"/>
      <c r="AB50" s="1064"/>
      <c r="AC50" s="1064"/>
      <c r="AD50" s="1064"/>
      <c r="AE50" s="1064"/>
      <c r="AF50" s="1064"/>
      <c r="AG50" s="1064"/>
      <c r="AH50" s="1064"/>
      <c r="AI50" s="1064"/>
      <c r="AJ50" s="1064"/>
    </row>
    <row r="51" spans="1:36" s="1066" customFormat="1" ht="21" customHeight="1" thickBot="1" x14ac:dyDescent="0.4">
      <c r="A51" s="1064"/>
      <c r="B51" s="1081" t="s">
        <v>140</v>
      </c>
      <c r="C51" s="1173" t="s">
        <v>734</v>
      </c>
      <c r="D51" s="1195">
        <f>VLOOKUP(MROUND(D34,5),'EmissRates MOVES2014'!$C$5:$U$20,19)</f>
        <v>1718.5637092360416</v>
      </c>
      <c r="E51" s="1195">
        <f>VLOOKUP(MROUND(E34,5),'EmissRates MOVES2014'!$C$5:$U$20,19)</f>
        <v>1718.5637092360416</v>
      </c>
      <c r="F51" s="1195">
        <f>VLOOKUP(MROUND(F34,5),'EmissRates MOVES2014'!$Z$5:$AR$20,19)</f>
        <v>1578.5580679614166</v>
      </c>
      <c r="G51" s="1195">
        <f>VLOOKUP(MROUND(G34,5),'EmissRates MOVES2014'!$Z$5:$AR$20,19)</f>
        <v>1578.5580679614166</v>
      </c>
      <c r="H51" s="1195">
        <f>VLOOKUP(MROUND(H34,5),'EmissRates MOVES2014'!$Z$5:$AR$20,19)</f>
        <v>1578.5580679614166</v>
      </c>
      <c r="I51" s="1195">
        <f>VLOOKUP(MROUND(I34,5),'EmissRates MOVES2014'!$Z$5:$AR$20,19)</f>
        <v>1578.5580679614166</v>
      </c>
      <c r="J51" s="1195">
        <f>VLOOKUP(MROUND(J34,5),'EmissRates MOVES2014'!$Z$5:$AR$20,19)</f>
        <v>1610.9779680841505</v>
      </c>
      <c r="K51" s="1195">
        <f>VLOOKUP(MROUND(K34,5),'EmissRates MOVES2014'!$Z$5:$AR$20,19)</f>
        <v>1610.9779680841505</v>
      </c>
      <c r="L51" s="1195">
        <f>VLOOKUP(MROUND(L34,5),'EmissRates MOVES2014'!$Z$5:$AR$20,19)</f>
        <v>1610.9779680841505</v>
      </c>
      <c r="M51" s="1195">
        <f>VLOOKUP(MROUND(M34,5),'EmissRates MOVES2014'!$Z$5:$AR$20,19)</f>
        <v>1610.9779680841505</v>
      </c>
      <c r="N51" s="1195">
        <f>VLOOKUP(MROUND(N34,5),'EmissRates MOVES2014'!$Z$5:$AR$20,19)</f>
        <v>1610.9779680841505</v>
      </c>
      <c r="O51" s="1195">
        <f>VLOOKUP(MROUND(O34,5),'EmissRates MOVES2014'!$Z$5:$AR$20,19)</f>
        <v>1610.9779680841505</v>
      </c>
      <c r="P51" s="1195">
        <f>VLOOKUP(MROUND(P34,5),'EmissRates MOVES2014'!$Z$5:$AR$20,19)</f>
        <v>1610.9779680841505</v>
      </c>
      <c r="Q51" s="1195">
        <f>VLOOKUP(MROUND(Q34,5),'EmissRates MOVES2014'!$Z$5:$AR$20,19)</f>
        <v>1610.9779680841505</v>
      </c>
      <c r="R51" s="1195">
        <f>VLOOKUP(MROUND(R34,5),'EmissRates MOVES2014'!$Z$5:$AR$20,19)</f>
        <v>1610.9779680841505</v>
      </c>
      <c r="S51" s="1195">
        <f>VLOOKUP(MROUND(S34,5),'EmissRates MOVES2014'!$Z$5:$AR$20,19)</f>
        <v>1610.9779680841505</v>
      </c>
      <c r="T51" s="1195">
        <f>VLOOKUP(MROUND(T34,5),'EmissRates MOVES2014'!$Z$5:$AR$20,19)</f>
        <v>1610.9779680841505</v>
      </c>
      <c r="U51" s="1195">
        <f>VLOOKUP(MROUND(U34,5),'EmissRates MOVES2014'!$Z$5:$AR$20,19)</f>
        <v>1610.9779680841505</v>
      </c>
      <c r="V51" s="1195">
        <f>VLOOKUP(MROUND(V34,5),'EmissRates MOVES2014'!$Z$5:$AR$20,19)</f>
        <v>1650.1137686619206</v>
      </c>
      <c r="W51" s="1195">
        <f>VLOOKUP(MROUND(W34,5),'EmissRates MOVES2014'!$Z$5:$AR$20,19)</f>
        <v>1650.1137686619206</v>
      </c>
      <c r="X51" s="1195">
        <f>VLOOKUP(MROUND(X34,5),'EmissRates MOVES2014'!$Z$5:$AR$20,19)</f>
        <v>1650.1137686619206</v>
      </c>
      <c r="Y51" s="1064"/>
      <c r="Z51" s="1064"/>
      <c r="AA51" s="1064"/>
      <c r="AB51" s="1064"/>
      <c r="AC51" s="1064"/>
      <c r="AD51" s="1064"/>
      <c r="AE51" s="1064"/>
      <c r="AF51" s="1064"/>
      <c r="AG51" s="1064"/>
      <c r="AH51" s="1064"/>
      <c r="AI51" s="1064"/>
      <c r="AJ51" s="1064"/>
    </row>
    <row r="52" spans="1:36" s="1066" customFormat="1" ht="15" customHeight="1" x14ac:dyDescent="0.25">
      <c r="A52" s="1064"/>
      <c r="Y52" s="1064"/>
      <c r="Z52" s="1064"/>
      <c r="AA52" s="1064"/>
      <c r="AB52" s="1064"/>
      <c r="AC52" s="1064"/>
      <c r="AD52" s="1064"/>
      <c r="AE52" s="1064"/>
      <c r="AF52" s="1064"/>
      <c r="AG52" s="1064"/>
      <c r="AH52" s="1064"/>
      <c r="AI52" s="1064"/>
      <c r="AJ52" s="1064"/>
    </row>
    <row r="53" spans="1:36" s="1066" customFormat="1" ht="29.25" x14ac:dyDescent="0.5">
      <c r="A53" s="1064"/>
      <c r="B53" s="1092" t="s">
        <v>736</v>
      </c>
      <c r="C53" s="1092"/>
      <c r="D53" s="1092"/>
      <c r="E53" s="1092"/>
      <c r="F53" s="1092"/>
      <c r="G53" s="1092"/>
      <c r="H53" s="1092"/>
      <c r="I53" s="1092"/>
      <c r="J53" s="1092"/>
      <c r="K53" s="1092"/>
      <c r="L53" s="1092"/>
      <c r="M53" s="1092"/>
      <c r="N53" s="1092"/>
      <c r="O53" s="1092"/>
      <c r="P53" s="1092"/>
      <c r="Q53" s="1092"/>
      <c r="R53" s="1092"/>
      <c r="S53" s="1092"/>
      <c r="T53" s="1092"/>
      <c r="U53" s="1092"/>
      <c r="V53" s="1092"/>
      <c r="W53" s="1092"/>
      <c r="X53" s="1092"/>
      <c r="Y53" s="1064"/>
      <c r="Z53" s="1064"/>
      <c r="AA53" s="1064"/>
      <c r="AB53" s="1064"/>
      <c r="AC53" s="1064"/>
      <c r="AD53" s="1064"/>
      <c r="AE53" s="1064"/>
      <c r="AF53" s="1064"/>
      <c r="AG53" s="1064"/>
      <c r="AH53" s="1064"/>
      <c r="AI53" s="1064"/>
      <c r="AJ53" s="1064"/>
    </row>
    <row r="54" spans="1:36" s="1101" customFormat="1" ht="24.9" customHeight="1" x14ac:dyDescent="0.25">
      <c r="A54" s="1100"/>
      <c r="B54" s="1101" t="s">
        <v>319</v>
      </c>
      <c r="Y54" s="1100"/>
      <c r="Z54" s="1100"/>
      <c r="AA54" s="1100"/>
      <c r="AB54" s="1100"/>
      <c r="AC54" s="1100"/>
      <c r="AD54" s="1100"/>
      <c r="AE54" s="1100"/>
      <c r="AF54" s="1100"/>
      <c r="AG54" s="1100"/>
      <c r="AH54" s="1100"/>
      <c r="AI54" s="1100"/>
      <c r="AJ54" s="1100"/>
    </row>
    <row r="55" spans="1:36" s="1101" customFormat="1" ht="24.9" customHeight="1" x14ac:dyDescent="0.25">
      <c r="A55" s="1100"/>
      <c r="B55" s="1101" t="s">
        <v>318</v>
      </c>
      <c r="D55" s="1102"/>
      <c r="E55" s="1102"/>
      <c r="F55" s="1196">
        <v>1000000</v>
      </c>
      <c r="G55" s="1101" t="s">
        <v>312</v>
      </c>
      <c r="Y55" s="1100"/>
      <c r="Z55" s="1100"/>
      <c r="AA55" s="1100"/>
      <c r="AB55" s="1100"/>
      <c r="AC55" s="1100"/>
      <c r="AD55" s="1100"/>
      <c r="AE55" s="1100"/>
      <c r="AF55" s="1100"/>
      <c r="AG55" s="1100"/>
      <c r="AH55" s="1100"/>
      <c r="AI55" s="1100"/>
      <c r="AJ55" s="1100"/>
    </row>
    <row r="56" spans="1:36" s="1066" customFormat="1" ht="14.25" x14ac:dyDescent="0.25">
      <c r="A56" s="1064"/>
      <c r="D56" s="1090"/>
      <c r="E56" s="1090"/>
      <c r="F56" s="1090"/>
      <c r="H56" s="1090"/>
      <c r="I56" s="1090"/>
      <c r="J56" s="1090"/>
      <c r="Y56" s="1064"/>
      <c r="Z56" s="1064"/>
      <c r="AA56" s="1064"/>
      <c r="AB56" s="1064"/>
      <c r="AC56" s="1064"/>
      <c r="AD56" s="1064"/>
      <c r="AE56" s="1064"/>
      <c r="AF56" s="1064"/>
      <c r="AG56" s="1064"/>
      <c r="AH56" s="1064"/>
      <c r="AI56" s="1064"/>
      <c r="AJ56" s="1064"/>
    </row>
    <row r="57" spans="1:36" s="1066" customFormat="1" ht="27.75" thickBot="1" x14ac:dyDescent="0.5">
      <c r="A57" s="1064"/>
      <c r="B57" s="1105"/>
      <c r="C57" s="1105"/>
      <c r="D57" s="1841" t="s">
        <v>737</v>
      </c>
      <c r="E57" s="1841"/>
      <c r="F57" s="1841"/>
      <c r="G57" s="1841"/>
      <c r="H57" s="1841"/>
      <c r="I57" s="1841"/>
      <c r="J57" s="1841"/>
      <c r="K57" s="1841"/>
      <c r="L57" s="1841"/>
      <c r="M57" s="1841"/>
      <c r="N57" s="1841"/>
      <c r="O57" s="1841"/>
      <c r="P57" s="1841"/>
      <c r="Q57" s="1841"/>
      <c r="R57" s="1841"/>
      <c r="S57" s="1841"/>
      <c r="T57" s="1841"/>
      <c r="U57" s="1841"/>
      <c r="V57" s="1841"/>
      <c r="W57" s="1841"/>
      <c r="X57" s="1841"/>
      <c r="Y57" s="1099"/>
      <c r="Z57" s="1099"/>
      <c r="AA57" s="1099"/>
      <c r="AB57" s="1099"/>
      <c r="AC57" s="1099"/>
      <c r="AD57" s="1099"/>
      <c r="AE57" s="1099"/>
      <c r="AF57" s="1099"/>
      <c r="AG57" s="1064"/>
      <c r="AH57" s="1064"/>
      <c r="AI57" s="1064"/>
      <c r="AJ57" s="1064"/>
    </row>
    <row r="58" spans="1:36" s="1066" customFormat="1" ht="20.100000000000001" customHeight="1" thickBot="1" x14ac:dyDescent="0.3">
      <c r="A58" s="1064"/>
      <c r="B58" s="1090"/>
      <c r="C58" s="1197" t="s">
        <v>117</v>
      </c>
      <c r="D58" s="712">
        <v>2023</v>
      </c>
      <c r="E58" s="417">
        <f>D58+1</f>
        <v>2024</v>
      </c>
      <c r="F58" s="417">
        <f t="shared" ref="F58:X58" si="6">E58+1</f>
        <v>2025</v>
      </c>
      <c r="G58" s="417">
        <f t="shared" si="6"/>
        <v>2026</v>
      </c>
      <c r="H58" s="417">
        <f t="shared" si="6"/>
        <v>2027</v>
      </c>
      <c r="I58" s="417">
        <f t="shared" si="6"/>
        <v>2028</v>
      </c>
      <c r="J58" s="417">
        <f t="shared" si="6"/>
        <v>2029</v>
      </c>
      <c r="K58" s="417">
        <f t="shared" si="6"/>
        <v>2030</v>
      </c>
      <c r="L58" s="417">
        <f t="shared" si="6"/>
        <v>2031</v>
      </c>
      <c r="M58" s="417">
        <f t="shared" si="6"/>
        <v>2032</v>
      </c>
      <c r="N58" s="417">
        <f t="shared" si="6"/>
        <v>2033</v>
      </c>
      <c r="O58" s="417">
        <f t="shared" si="6"/>
        <v>2034</v>
      </c>
      <c r="P58" s="417">
        <f t="shared" si="6"/>
        <v>2035</v>
      </c>
      <c r="Q58" s="417">
        <f t="shared" si="6"/>
        <v>2036</v>
      </c>
      <c r="R58" s="417">
        <f t="shared" si="6"/>
        <v>2037</v>
      </c>
      <c r="S58" s="417">
        <f t="shared" si="6"/>
        <v>2038</v>
      </c>
      <c r="T58" s="417">
        <f t="shared" si="6"/>
        <v>2039</v>
      </c>
      <c r="U58" s="417">
        <f t="shared" si="6"/>
        <v>2040</v>
      </c>
      <c r="V58" s="417">
        <f t="shared" si="6"/>
        <v>2041</v>
      </c>
      <c r="W58" s="417">
        <f t="shared" si="6"/>
        <v>2042</v>
      </c>
      <c r="X58" s="713">
        <f t="shared" si="6"/>
        <v>2043</v>
      </c>
      <c r="Y58" s="1064"/>
      <c r="Z58" s="1064"/>
      <c r="AA58" s="1064"/>
      <c r="AB58" s="1064"/>
      <c r="AC58" s="1064"/>
      <c r="AD58" s="1064"/>
      <c r="AE58" s="1064"/>
      <c r="AF58" s="1064"/>
      <c r="AG58" s="1064"/>
      <c r="AH58" s="1064"/>
      <c r="AI58" s="1064"/>
      <c r="AJ58" s="1064"/>
    </row>
    <row r="59" spans="1:36" s="1066" customFormat="1" ht="20.100000000000001" customHeight="1" x14ac:dyDescent="0.35">
      <c r="A59" s="1064"/>
      <c r="B59" s="1070" t="s">
        <v>394</v>
      </c>
      <c r="C59" s="1171" t="s">
        <v>734</v>
      </c>
      <c r="D59" s="1198">
        <f>D7*D41/$F$55</f>
        <v>125469.53041633338</v>
      </c>
      <c r="E59" s="1198">
        <f t="shared" ref="E59:X59" si="7">E7*E41/$F$55</f>
        <v>126523.95215799517</v>
      </c>
      <c r="F59" s="1198">
        <f t="shared" si="7"/>
        <v>102305.22192512942</v>
      </c>
      <c r="G59" s="1198">
        <f t="shared" si="7"/>
        <v>103164.97528457412</v>
      </c>
      <c r="H59" s="1198">
        <f t="shared" si="7"/>
        <v>104031.9538454813</v>
      </c>
      <c r="I59" s="1198">
        <f t="shared" si="7"/>
        <v>104906.21832705101</v>
      </c>
      <c r="J59" s="1198">
        <f t="shared" si="7"/>
        <v>108102.148390965</v>
      </c>
      <c r="K59" s="1198">
        <f t="shared" si="7"/>
        <v>109010.618002715</v>
      </c>
      <c r="L59" s="1198">
        <f t="shared" si="7"/>
        <v>109926.72221791885</v>
      </c>
      <c r="M59" s="1198">
        <f t="shared" si="7"/>
        <v>110850.52519631192</v>
      </c>
      <c r="N59" s="1198">
        <f t="shared" si="7"/>
        <v>111782.09163681565</v>
      </c>
      <c r="O59" s="1198">
        <f t="shared" si="7"/>
        <v>120938.40930508114</v>
      </c>
      <c r="P59" s="1198">
        <f t="shared" si="7"/>
        <v>121954.75237857579</v>
      </c>
      <c r="Q59" s="1198">
        <f t="shared" si="7"/>
        <v>122979.63660329758</v>
      </c>
      <c r="R59" s="1198">
        <f t="shared" si="7"/>
        <v>124013.13375743455</v>
      </c>
      <c r="S59" s="1198">
        <f t="shared" si="7"/>
        <v>125055.31622238485</v>
      </c>
      <c r="T59" s="1198">
        <f t="shared" si="7"/>
        <v>126106.25698782587</v>
      </c>
      <c r="U59" s="1198">
        <f t="shared" si="7"/>
        <v>127166.02965682634</v>
      </c>
      <c r="V59" s="1198">
        <f t="shared" si="7"/>
        <v>143267.04823862889</v>
      </c>
      <c r="W59" s="1198">
        <f t="shared" si="7"/>
        <v>144471.03688850475</v>
      </c>
      <c r="X59" s="1198">
        <f t="shared" si="7"/>
        <v>145685.14362685144</v>
      </c>
      <c r="Y59" s="1064"/>
      <c r="Z59" s="1064"/>
      <c r="AA59" s="1064"/>
      <c r="AB59" s="1064"/>
      <c r="AC59" s="1064"/>
      <c r="AD59" s="1064"/>
      <c r="AE59" s="1064"/>
      <c r="AF59" s="1064"/>
      <c r="AG59" s="1064"/>
      <c r="AH59" s="1064"/>
      <c r="AI59" s="1064"/>
      <c r="AJ59" s="1064"/>
    </row>
    <row r="60" spans="1:36" s="1066" customFormat="1" ht="20.100000000000001" customHeight="1" x14ac:dyDescent="0.35">
      <c r="A60" s="1064"/>
      <c r="B60" s="1076" t="s">
        <v>395</v>
      </c>
      <c r="C60" s="1172" t="s">
        <v>734</v>
      </c>
      <c r="D60" s="1198">
        <f>D8*D42/$F$55</f>
        <v>67975.113523675769</v>
      </c>
      <c r="E60" s="1198">
        <f t="shared" ref="E60:X60" si="8">E8*E42/$F$55</f>
        <v>68028.453079141676</v>
      </c>
      <c r="F60" s="1198">
        <f t="shared" si="8"/>
        <v>54591.097482834746</v>
      </c>
      <c r="G60" s="1198">
        <f t="shared" si="8"/>
        <v>54633.93470253452</v>
      </c>
      <c r="H60" s="1198">
        <f t="shared" si="8"/>
        <v>54676.805536275329</v>
      </c>
      <c r="I60" s="1198">
        <f t="shared" si="8"/>
        <v>54719.710010433882</v>
      </c>
      <c r="J60" s="1198">
        <f t="shared" si="8"/>
        <v>55960.689609132962</v>
      </c>
      <c r="K60" s="1198">
        <f t="shared" si="8"/>
        <v>56004.601537375303</v>
      </c>
      <c r="L60" s="1198">
        <f t="shared" si="8"/>
        <v>56048.547922974329</v>
      </c>
      <c r="M60" s="1198">
        <f t="shared" si="8"/>
        <v>56092.528792968464</v>
      </c>
      <c r="N60" s="1198">
        <f t="shared" si="8"/>
        <v>56136.544174417366</v>
      </c>
      <c r="O60" s="1198">
        <f t="shared" si="8"/>
        <v>60275.923229502856</v>
      </c>
      <c r="P60" s="1198">
        <f t="shared" si="8"/>
        <v>60323.221288802735</v>
      </c>
      <c r="Q60" s="1198">
        <f t="shared" si="8"/>
        <v>60370.556462530636</v>
      </c>
      <c r="R60" s="1198">
        <f t="shared" si="8"/>
        <v>60417.928779809954</v>
      </c>
      <c r="S60" s="1198">
        <f t="shared" si="8"/>
        <v>60465.338269786931</v>
      </c>
      <c r="T60" s="1198">
        <f t="shared" si="8"/>
        <v>60512.784961630758</v>
      </c>
      <c r="U60" s="1198">
        <f t="shared" si="8"/>
        <v>60560.26888453342</v>
      </c>
      <c r="V60" s="1198">
        <f t="shared" si="8"/>
        <v>67712.550589103121</v>
      </c>
      <c r="W60" s="1198">
        <f t="shared" si="8"/>
        <v>67765.684113427837</v>
      </c>
      <c r="X60" s="1198">
        <f t="shared" si="8"/>
        <v>67818.859331225656</v>
      </c>
      <c r="Y60" s="1064"/>
      <c r="Z60" s="1064"/>
      <c r="AA60" s="1064"/>
      <c r="AB60" s="1064"/>
      <c r="AC60" s="1064"/>
      <c r="AD60" s="1064"/>
      <c r="AE60" s="1064"/>
      <c r="AF60" s="1064"/>
      <c r="AG60" s="1064"/>
      <c r="AH60" s="1064"/>
      <c r="AI60" s="1064"/>
      <c r="AJ60" s="1064"/>
    </row>
    <row r="61" spans="1:36" s="1066" customFormat="1" ht="20.100000000000001" customHeight="1" x14ac:dyDescent="0.35">
      <c r="A61" s="1064"/>
      <c r="B61" s="1076" t="s">
        <v>396</v>
      </c>
      <c r="C61" s="1172" t="s">
        <v>734</v>
      </c>
      <c r="D61" s="1198">
        <f>D9*D43/$F$55</f>
        <v>41294.576636974431</v>
      </c>
      <c r="E61" s="1198">
        <f t="shared" ref="E61:X61" si="9">E9*E43/$F$55</f>
        <v>41637.467880441007</v>
      </c>
      <c r="F61" s="1198">
        <f t="shared" si="9"/>
        <v>33664.035743017645</v>
      </c>
      <c r="G61" s="1198">
        <f t="shared" si="9"/>
        <v>33943.566471168786</v>
      </c>
      <c r="H61" s="1198">
        <f t="shared" si="9"/>
        <v>34225.418294407202</v>
      </c>
      <c r="I61" s="1198">
        <f t="shared" si="9"/>
        <v>34509.61048604297</v>
      </c>
      <c r="J61" s="1198">
        <f t="shared" si="9"/>
        <v>35557.397493201686</v>
      </c>
      <c r="K61" s="1198">
        <f t="shared" si="9"/>
        <v>35852.649829799375</v>
      </c>
      <c r="L61" s="1198">
        <f t="shared" si="9"/>
        <v>36150.353806517334</v>
      </c>
      <c r="M61" s="1198">
        <f t="shared" si="9"/>
        <v>36450.529780651777</v>
      </c>
      <c r="N61" s="1198">
        <f t="shared" si="9"/>
        <v>36753.198278536613</v>
      </c>
      <c r="O61" s="1198">
        <f t="shared" si="9"/>
        <v>39759.780111123859</v>
      </c>
      <c r="P61" s="1198">
        <f t="shared" si="9"/>
        <v>40089.927107474301</v>
      </c>
      <c r="Q61" s="1198">
        <f t="shared" si="9"/>
        <v>40422.815493211099</v>
      </c>
      <c r="R61" s="1198">
        <f t="shared" si="9"/>
        <v>40758.468031575569</v>
      </c>
      <c r="S61" s="1198">
        <f t="shared" si="9"/>
        <v>41096.907674824652</v>
      </c>
      <c r="T61" s="1198">
        <f t="shared" si="9"/>
        <v>41438.157565800269</v>
      </c>
      <c r="U61" s="1198">
        <f t="shared" si="9"/>
        <v>41782.241039511893</v>
      </c>
      <c r="V61" s="1198">
        <f t="shared" si="9"/>
        <v>47067.783511908994</v>
      </c>
      <c r="W61" s="1198">
        <f t="shared" si="9"/>
        <v>47458.612820016329</v>
      </c>
      <c r="X61" s="1198">
        <f t="shared" si="9"/>
        <v>47852.687395622554</v>
      </c>
      <c r="Y61" s="1064"/>
      <c r="Z61" s="1064"/>
      <c r="AA61" s="1064"/>
      <c r="AB61" s="1064"/>
      <c r="AC61" s="1064"/>
      <c r="AD61" s="1064"/>
      <c r="AE61" s="1064"/>
      <c r="AF61" s="1064"/>
      <c r="AG61" s="1064"/>
      <c r="AH61" s="1064"/>
      <c r="AI61" s="1064"/>
      <c r="AJ61" s="1064"/>
    </row>
    <row r="62" spans="1:36" s="1066" customFormat="1" ht="20.100000000000001" customHeight="1" thickBot="1" x14ac:dyDescent="0.4">
      <c r="A62" s="1064"/>
      <c r="B62" s="1108" t="s">
        <v>140</v>
      </c>
      <c r="C62" s="1172" t="s">
        <v>734</v>
      </c>
      <c r="D62" s="1198">
        <f>D10*D44/$F$55</f>
        <v>83330.055698676966</v>
      </c>
      <c r="E62" s="1198">
        <f t="shared" ref="E62:X62" si="10">E10*E44/$F$55</f>
        <v>85913.696471510484</v>
      </c>
      <c r="F62" s="1198">
        <f t="shared" si="10"/>
        <v>79431.685234843739</v>
      </c>
      <c r="G62" s="1198">
        <f t="shared" si="10"/>
        <v>79952.163944393484</v>
      </c>
      <c r="H62" s="1198">
        <f t="shared" si="10"/>
        <v>80476.053107672036</v>
      </c>
      <c r="I62" s="1198">
        <f t="shared" si="10"/>
        <v>81003.375071788745</v>
      </c>
      <c r="J62" s="1198">
        <f t="shared" si="10"/>
        <v>94679.427795607713</v>
      </c>
      <c r="K62" s="1198">
        <f t="shared" si="10"/>
        <v>95299.81783585767</v>
      </c>
      <c r="L62" s="1198">
        <f t="shared" si="10"/>
        <v>95924.273002091184</v>
      </c>
      <c r="M62" s="1198">
        <f t="shared" si="10"/>
        <v>96552.81993117895</v>
      </c>
      <c r="N62" s="1198">
        <f t="shared" si="10"/>
        <v>97185.485434530565</v>
      </c>
      <c r="O62" s="1198">
        <f t="shared" si="10"/>
        <v>99987.970135518466</v>
      </c>
      <c r="P62" s="1198">
        <f t="shared" si="10"/>
        <v>100643.14457268125</v>
      </c>
      <c r="Q62" s="1198">
        <f t="shared" si="10"/>
        <v>101302.61206172354</v>
      </c>
      <c r="R62" s="1198">
        <f t="shared" si="10"/>
        <v>101966.40073300777</v>
      </c>
      <c r="S62" s="1198">
        <f t="shared" si="10"/>
        <v>102634.53890122163</v>
      </c>
      <c r="T62" s="1198">
        <f t="shared" si="10"/>
        <v>103307.05506658567</v>
      </c>
      <c r="U62" s="1198">
        <f t="shared" si="10"/>
        <v>112162.50238047204</v>
      </c>
      <c r="V62" s="1198">
        <f t="shared" si="10"/>
        <v>112897.45083745444</v>
      </c>
      <c r="W62" s="1198">
        <f t="shared" si="10"/>
        <v>113637.21506818435</v>
      </c>
      <c r="X62" s="1198">
        <f t="shared" si="10"/>
        <v>114381.82662817641</v>
      </c>
      <c r="Y62" s="1064"/>
      <c r="Z62" s="1064"/>
      <c r="AA62" s="1064"/>
      <c r="AB62" s="1064"/>
      <c r="AC62" s="1064"/>
      <c r="AD62" s="1064"/>
      <c r="AE62" s="1064"/>
      <c r="AF62" s="1064"/>
      <c r="AG62" s="1064"/>
      <c r="AH62" s="1064"/>
      <c r="AI62" s="1064"/>
      <c r="AJ62" s="1064"/>
    </row>
    <row r="63" spans="1:36" s="1066" customFormat="1" ht="20.100000000000001" customHeight="1" thickBot="1" x14ac:dyDescent="0.4">
      <c r="A63" s="1064"/>
      <c r="B63" s="1109" t="s">
        <v>5</v>
      </c>
      <c r="C63" s="1173" t="s">
        <v>734</v>
      </c>
      <c r="D63" s="1112">
        <f>SUM(D59:D62)</f>
        <v>318069.27627566055</v>
      </c>
      <c r="E63" s="1112">
        <f t="shared" ref="E63:X63" si="11">SUM(E59:E62)</f>
        <v>322103.56958908832</v>
      </c>
      <c r="F63" s="1112">
        <f t="shared" si="11"/>
        <v>269992.04038582556</v>
      </c>
      <c r="G63" s="1112">
        <f t="shared" si="11"/>
        <v>271694.64040267095</v>
      </c>
      <c r="H63" s="1112">
        <f t="shared" si="11"/>
        <v>273410.23078383587</v>
      </c>
      <c r="I63" s="1112">
        <f t="shared" si="11"/>
        <v>275138.9138953166</v>
      </c>
      <c r="J63" s="1112">
        <f t="shared" si="11"/>
        <v>294299.66328890738</v>
      </c>
      <c r="K63" s="1112">
        <f t="shared" si="11"/>
        <v>296167.68720574735</v>
      </c>
      <c r="L63" s="1112">
        <f t="shared" si="11"/>
        <v>298049.89694950171</v>
      </c>
      <c r="M63" s="1112">
        <f t="shared" si="11"/>
        <v>299946.40370111109</v>
      </c>
      <c r="N63" s="1112">
        <f t="shared" si="11"/>
        <v>301857.31952430017</v>
      </c>
      <c r="O63" s="1112">
        <f t="shared" si="11"/>
        <v>320962.08278122632</v>
      </c>
      <c r="P63" s="1112">
        <f t="shared" si="11"/>
        <v>323011.04534753412</v>
      </c>
      <c r="Q63" s="1112">
        <f t="shared" si="11"/>
        <v>325075.62062076281</v>
      </c>
      <c r="R63" s="1112">
        <f t="shared" si="11"/>
        <v>327155.93130182783</v>
      </c>
      <c r="S63" s="1112">
        <f t="shared" si="11"/>
        <v>329252.10106821806</v>
      </c>
      <c r="T63" s="1112">
        <f t="shared" si="11"/>
        <v>331364.25458184257</v>
      </c>
      <c r="U63" s="1112">
        <f t="shared" si="11"/>
        <v>341671.04196134373</v>
      </c>
      <c r="V63" s="1112">
        <f t="shared" si="11"/>
        <v>370944.83317709545</v>
      </c>
      <c r="W63" s="1112">
        <f t="shared" si="11"/>
        <v>373332.54889013327</v>
      </c>
      <c r="X63" s="1112">
        <f t="shared" si="11"/>
        <v>375738.51698187605</v>
      </c>
      <c r="Y63" s="1064"/>
      <c r="Z63" s="1064"/>
      <c r="AA63" s="1064"/>
      <c r="AB63" s="1064"/>
      <c r="AC63" s="1064"/>
      <c r="AD63" s="1064"/>
      <c r="AE63" s="1064"/>
      <c r="AF63" s="1064"/>
      <c r="AG63" s="1064"/>
      <c r="AH63" s="1064"/>
      <c r="AI63" s="1064"/>
      <c r="AJ63" s="1064"/>
    </row>
    <row r="64" spans="1:36" s="1064" customFormat="1" ht="20.100000000000001" customHeight="1" x14ac:dyDescent="0.25"/>
    <row r="65" spans="1:51" s="1066" customFormat="1" ht="27" customHeight="1" thickBot="1" x14ac:dyDescent="0.55000000000000004">
      <c r="A65" s="1064"/>
      <c r="C65" s="1093"/>
      <c r="D65" s="1841" t="s">
        <v>738</v>
      </c>
      <c r="E65" s="1841"/>
      <c r="F65" s="1841"/>
      <c r="G65" s="1841"/>
      <c r="H65" s="1841"/>
      <c r="I65" s="1841"/>
      <c r="J65" s="1841"/>
      <c r="K65" s="1841"/>
      <c r="L65" s="1841" t="s">
        <v>320</v>
      </c>
      <c r="M65" s="1841"/>
      <c r="N65" s="1841"/>
      <c r="O65" s="1841"/>
      <c r="P65" s="1841"/>
      <c r="Q65" s="1841"/>
      <c r="R65" s="1841"/>
      <c r="S65" s="1841"/>
      <c r="T65" s="1841"/>
      <c r="U65" s="1841"/>
      <c r="V65" s="1841"/>
      <c r="W65" s="1841"/>
      <c r="X65" s="1841"/>
      <c r="Y65" s="1111"/>
      <c r="Z65" s="1111"/>
      <c r="AA65" s="1111"/>
      <c r="AB65" s="1111"/>
      <c r="AC65" s="1111"/>
      <c r="AD65" s="1111"/>
      <c r="AE65" s="1111"/>
      <c r="AF65" s="1111"/>
      <c r="AG65" s="1064"/>
      <c r="AH65" s="1064"/>
      <c r="AI65" s="1064"/>
      <c r="AJ65" s="1064"/>
    </row>
    <row r="66" spans="1:51" s="1066" customFormat="1" ht="20.100000000000001" customHeight="1" thickBot="1" x14ac:dyDescent="0.3">
      <c r="A66" s="1064"/>
      <c r="B66" s="1090"/>
      <c r="C66" s="1193" t="s">
        <v>117</v>
      </c>
      <c r="D66" s="712">
        <v>2023</v>
      </c>
      <c r="E66" s="417">
        <f>D66+1</f>
        <v>2024</v>
      </c>
      <c r="F66" s="417">
        <f t="shared" ref="F66:X66" si="12">E66+1</f>
        <v>2025</v>
      </c>
      <c r="G66" s="417">
        <f t="shared" si="12"/>
        <v>2026</v>
      </c>
      <c r="H66" s="417">
        <f t="shared" si="12"/>
        <v>2027</v>
      </c>
      <c r="I66" s="417">
        <f t="shared" si="12"/>
        <v>2028</v>
      </c>
      <c r="J66" s="417">
        <f t="shared" si="12"/>
        <v>2029</v>
      </c>
      <c r="K66" s="417">
        <f t="shared" si="12"/>
        <v>2030</v>
      </c>
      <c r="L66" s="417">
        <f t="shared" si="12"/>
        <v>2031</v>
      </c>
      <c r="M66" s="417">
        <f t="shared" si="12"/>
        <v>2032</v>
      </c>
      <c r="N66" s="417">
        <f t="shared" si="12"/>
        <v>2033</v>
      </c>
      <c r="O66" s="417">
        <f t="shared" si="12"/>
        <v>2034</v>
      </c>
      <c r="P66" s="417">
        <f t="shared" si="12"/>
        <v>2035</v>
      </c>
      <c r="Q66" s="417">
        <f t="shared" si="12"/>
        <v>2036</v>
      </c>
      <c r="R66" s="417">
        <f t="shared" si="12"/>
        <v>2037</v>
      </c>
      <c r="S66" s="417">
        <f t="shared" si="12"/>
        <v>2038</v>
      </c>
      <c r="T66" s="417">
        <f t="shared" si="12"/>
        <v>2039</v>
      </c>
      <c r="U66" s="417">
        <f t="shared" si="12"/>
        <v>2040</v>
      </c>
      <c r="V66" s="417">
        <f t="shared" si="12"/>
        <v>2041</v>
      </c>
      <c r="W66" s="417">
        <f t="shared" si="12"/>
        <v>2042</v>
      </c>
      <c r="X66" s="713">
        <f t="shared" si="12"/>
        <v>2043</v>
      </c>
      <c r="Y66" s="1064"/>
      <c r="Z66" s="1064"/>
      <c r="AA66" s="1064"/>
      <c r="AB66" s="1064"/>
      <c r="AC66" s="1064"/>
      <c r="AD66" s="1064"/>
      <c r="AE66" s="1064"/>
      <c r="AF66" s="1064"/>
      <c r="AG66" s="1064"/>
      <c r="AH66" s="1064"/>
      <c r="AI66" s="1064"/>
      <c r="AJ66" s="1064"/>
    </row>
    <row r="67" spans="1:51" s="1066" customFormat="1" ht="20.100000000000001" customHeight="1" x14ac:dyDescent="0.35">
      <c r="A67" s="1064"/>
      <c r="B67" s="1070" t="s">
        <v>394</v>
      </c>
      <c r="C67" s="1171" t="s">
        <v>734</v>
      </c>
      <c r="D67" s="1198">
        <f t="shared" ref="D67:E70" si="13">D16*D48/$F$55</f>
        <v>142824.33998800858</v>
      </c>
      <c r="E67" s="1198">
        <f t="shared" si="13"/>
        <v>144317.98620379326</v>
      </c>
      <c r="F67" s="1198">
        <f t="shared" ref="F67:X67" si="14">F16*F48/$F$55</f>
        <v>115012.51432843109</v>
      </c>
      <c r="G67" s="1198">
        <f t="shared" si="14"/>
        <v>116215.3065612464</v>
      </c>
      <c r="H67" s="1198">
        <f t="shared" si="14"/>
        <v>117430.6775048547</v>
      </c>
      <c r="I67" s="1198">
        <f t="shared" si="14"/>
        <v>120514.48819766004</v>
      </c>
      <c r="J67" s="1198">
        <f t="shared" si="14"/>
        <v>121774.8196597818</v>
      </c>
      <c r="K67" s="1198">
        <f t="shared" si="14"/>
        <v>123048.33157363324</v>
      </c>
      <c r="L67" s="1198">
        <f t="shared" si="14"/>
        <v>124335.16177938816</v>
      </c>
      <c r="M67" s="1198">
        <f t="shared" si="14"/>
        <v>125635.44955874252</v>
      </c>
      <c r="N67" s="1198">
        <f t="shared" si="14"/>
        <v>126949.33564998985</v>
      </c>
      <c r="O67" s="1198">
        <f t="shared" si="14"/>
        <v>128276.96226325414</v>
      </c>
      <c r="P67" s="1198">
        <f t="shared" si="14"/>
        <v>129618.4730958822</v>
      </c>
      <c r="Q67" s="1198">
        <f t="shared" si="14"/>
        <v>130974.01334799689</v>
      </c>
      <c r="R67" s="1198">
        <f t="shared" si="14"/>
        <v>134551.18977800891</v>
      </c>
      <c r="S67" s="1198">
        <f t="shared" si="14"/>
        <v>135958.31601054128</v>
      </c>
      <c r="T67" s="1198">
        <f t="shared" si="14"/>
        <v>137380.15786348213</v>
      </c>
      <c r="U67" s="1198">
        <f t="shared" si="14"/>
        <v>138816.86923168399</v>
      </c>
      <c r="V67" s="1198">
        <f t="shared" si="14"/>
        <v>140268.60561942004</v>
      </c>
      <c r="W67" s="1198">
        <f t="shared" si="14"/>
        <v>141735.52415721575</v>
      </c>
      <c r="X67" s="1198">
        <f t="shared" si="14"/>
        <v>143217.78361885555</v>
      </c>
      <c r="Y67" s="1064"/>
      <c r="Z67" s="1064"/>
      <c r="AA67" s="1064"/>
      <c r="AB67" s="1064"/>
      <c r="AC67" s="1064"/>
      <c r="AD67" s="1064"/>
      <c r="AE67" s="1064"/>
      <c r="AF67" s="1064"/>
      <c r="AG67" s="1064"/>
      <c r="AH67" s="1064"/>
      <c r="AI67" s="1064"/>
      <c r="AJ67" s="1064"/>
    </row>
    <row r="68" spans="1:51" s="1066" customFormat="1" ht="20.100000000000001" customHeight="1" x14ac:dyDescent="0.35">
      <c r="A68" s="1064"/>
      <c r="B68" s="1076" t="s">
        <v>395</v>
      </c>
      <c r="C68" s="1172" t="s">
        <v>734</v>
      </c>
      <c r="D68" s="1198">
        <f t="shared" si="13"/>
        <v>77531.284958259756</v>
      </c>
      <c r="E68" s="1198">
        <f t="shared" si="13"/>
        <v>77743.130191094198</v>
      </c>
      <c r="F68" s="1198">
        <f t="shared" ref="F68:X68" si="15">F17*F49/$F$55</f>
        <v>61482.77586143907</v>
      </c>
      <c r="G68" s="1198">
        <f t="shared" si="15"/>
        <v>61650.770406798227</v>
      </c>
      <c r="H68" s="1198">
        <f t="shared" si="15"/>
        <v>61819.223977744223</v>
      </c>
      <c r="I68" s="1198">
        <f t="shared" si="15"/>
        <v>62957.583461740673</v>
      </c>
      <c r="J68" s="1198">
        <f t="shared" si="15"/>
        <v>63129.607747605733</v>
      </c>
      <c r="K68" s="1198">
        <f t="shared" si="15"/>
        <v>63302.102069855631</v>
      </c>
      <c r="L68" s="1198">
        <f t="shared" si="15"/>
        <v>63475.067712810174</v>
      </c>
      <c r="M68" s="1198">
        <f t="shared" si="15"/>
        <v>63648.505964298471</v>
      </c>
      <c r="N68" s="1198">
        <f t="shared" si="15"/>
        <v>63822.418115668464</v>
      </c>
      <c r="O68" s="1198">
        <f t="shared" si="15"/>
        <v>63996.805461796532</v>
      </c>
      <c r="P68" s="1198">
        <f t="shared" si="15"/>
        <v>64171.669301097201</v>
      </c>
      <c r="Q68" s="1198">
        <f t="shared" si="15"/>
        <v>64347.010935532679</v>
      </c>
      <c r="R68" s="1198">
        <f t="shared" si="15"/>
        <v>65599.056232595729</v>
      </c>
      <c r="S68" s="1198">
        <f t="shared" si="15"/>
        <v>65778.29803606635</v>
      </c>
      <c r="T68" s="1198">
        <f t="shared" si="15"/>
        <v>65958.02959695051</v>
      </c>
      <c r="U68" s="1198">
        <f t="shared" si="15"/>
        <v>66138.25225345348</v>
      </c>
      <c r="V68" s="1198">
        <f t="shared" si="15"/>
        <v>66318.967347437021</v>
      </c>
      <c r="W68" s="1198">
        <f t="shared" si="15"/>
        <v>66500.176224429335</v>
      </c>
      <c r="X68" s="1198">
        <f t="shared" si="15"/>
        <v>66681.880233635151</v>
      </c>
      <c r="Y68" s="1064"/>
      <c r="Z68" s="1064"/>
      <c r="AA68" s="1064"/>
      <c r="AB68" s="1064"/>
      <c r="AC68" s="1064"/>
      <c r="AD68" s="1064"/>
      <c r="AE68" s="1064"/>
      <c r="AF68" s="1064"/>
      <c r="AG68" s="1064"/>
      <c r="AH68" s="1064"/>
      <c r="AI68" s="1064"/>
      <c r="AJ68" s="1064"/>
    </row>
    <row r="69" spans="1:51" s="1066" customFormat="1" ht="20.100000000000001" customHeight="1" x14ac:dyDescent="0.35">
      <c r="A69" s="1064"/>
      <c r="B69" s="1076" t="s">
        <v>396</v>
      </c>
      <c r="C69" s="1172" t="s">
        <v>734</v>
      </c>
      <c r="D69" s="1198">
        <f t="shared" si="13"/>
        <v>47010.156502927552</v>
      </c>
      <c r="E69" s="1198">
        <f t="shared" si="13"/>
        <v>47497.168258278107</v>
      </c>
      <c r="F69" s="1198">
        <f t="shared" ref="F69:X69" si="16">F18*F50/$F$55</f>
        <v>37848.628126974785</v>
      </c>
      <c r="G69" s="1198">
        <f t="shared" si="16"/>
        <v>38240.729072662565</v>
      </c>
      <c r="H69" s="1198">
        <f t="shared" si="16"/>
        <v>38636.892071830684</v>
      </c>
      <c r="I69" s="1198">
        <f t="shared" si="16"/>
        <v>39647.669617565763</v>
      </c>
      <c r="J69" s="1198">
        <f t="shared" si="16"/>
        <v>40058.408117762148</v>
      </c>
      <c r="K69" s="1198">
        <f t="shared" si="16"/>
        <v>40473.401751164864</v>
      </c>
      <c r="L69" s="1198">
        <f t="shared" si="16"/>
        <v>40892.694599735056</v>
      </c>
      <c r="M69" s="1198">
        <f t="shared" si="16"/>
        <v>41316.331202110356</v>
      </c>
      <c r="N69" s="1198">
        <f t="shared" si="16"/>
        <v>41744.356558335916</v>
      </c>
      <c r="O69" s="1198">
        <f t="shared" si="16"/>
        <v>42176.816134644454</v>
      </c>
      <c r="P69" s="1198">
        <f t="shared" si="16"/>
        <v>42613.755868285887</v>
      </c>
      <c r="Q69" s="1198">
        <f t="shared" si="16"/>
        <v>43055.222172406822</v>
      </c>
      <c r="R69" s="1198">
        <f t="shared" si="16"/>
        <v>44226.852020732687</v>
      </c>
      <c r="S69" s="1198">
        <f t="shared" si="16"/>
        <v>44685.029538922929</v>
      </c>
      <c r="T69" s="1198">
        <f t="shared" si="16"/>
        <v>45147.953644957044</v>
      </c>
      <c r="U69" s="1198">
        <f t="shared" si="16"/>
        <v>45615.673512125475</v>
      </c>
      <c r="V69" s="1198">
        <f t="shared" si="16"/>
        <v>46088.238823139807</v>
      </c>
      <c r="W69" s="1198">
        <f t="shared" si="16"/>
        <v>46565.699775410314</v>
      </c>
      <c r="X69" s="1198">
        <f t="shared" si="16"/>
        <v>47048.107086378041</v>
      </c>
      <c r="Y69" s="1064"/>
      <c r="Z69" s="1064"/>
      <c r="AA69" s="1064"/>
      <c r="AB69" s="1064"/>
      <c r="AC69" s="1064"/>
      <c r="AD69" s="1064"/>
      <c r="AE69" s="1064"/>
      <c r="AF69" s="1064"/>
      <c r="AG69" s="1064"/>
      <c r="AH69" s="1064"/>
      <c r="AI69" s="1064"/>
      <c r="AJ69" s="1064"/>
    </row>
    <row r="70" spans="1:51" s="1066" customFormat="1" ht="20.100000000000001" customHeight="1" thickBot="1" x14ac:dyDescent="0.4">
      <c r="A70" s="1064"/>
      <c r="B70" s="1108" t="s">
        <v>140</v>
      </c>
      <c r="C70" s="1172" t="s">
        <v>734</v>
      </c>
      <c r="D70" s="1198">
        <f t="shared" si="13"/>
        <v>74442.872555003269</v>
      </c>
      <c r="E70" s="1198">
        <f t="shared" si="13"/>
        <v>76115.803260985471</v>
      </c>
      <c r="F70" s="1198">
        <f t="shared" ref="F70:X70" si="17">F19*F51/$F$55</f>
        <v>71486.078286393473</v>
      </c>
      <c r="G70" s="1198">
        <f t="shared" si="17"/>
        <v>73092.561906799092</v>
      </c>
      <c r="H70" s="1198">
        <f t="shared" si="17"/>
        <v>74735.147516354147</v>
      </c>
      <c r="I70" s="1198">
        <f t="shared" si="17"/>
        <v>76414.646423436774</v>
      </c>
      <c r="J70" s="1198">
        <f t="shared" si="17"/>
        <v>79736.53487903373</v>
      </c>
      <c r="K70" s="1198">
        <f t="shared" si="17"/>
        <v>81528.428353982556</v>
      </c>
      <c r="L70" s="1198">
        <f t="shared" si="17"/>
        <v>83360.590474044147</v>
      </c>
      <c r="M70" s="1198">
        <f t="shared" si="17"/>
        <v>85233.926183514472</v>
      </c>
      <c r="N70" s="1198">
        <f t="shared" si="17"/>
        <v>87149.360763211371</v>
      </c>
      <c r="O70" s="1198">
        <f t="shared" si="17"/>
        <v>89107.84028749053</v>
      </c>
      <c r="P70" s="1198">
        <f t="shared" si="17"/>
        <v>91110.33209153208</v>
      </c>
      <c r="Q70" s="1198">
        <f t="shared" si="17"/>
        <v>93157.825249128073</v>
      </c>
      <c r="R70" s="1198">
        <f t="shared" si="17"/>
        <v>95251.331061207529</v>
      </c>
      <c r="S70" s="1198">
        <f t="shared" si="17"/>
        <v>97391.883555339649</v>
      </c>
      <c r="T70" s="1198">
        <f t="shared" si="17"/>
        <v>99580.53999646219</v>
      </c>
      <c r="U70" s="1198">
        <f t="shared" si="17"/>
        <v>101818.38140908744</v>
      </c>
      <c r="V70" s="1198">
        <f t="shared" si="17"/>
        <v>106635.59284832647</v>
      </c>
      <c r="W70" s="1198">
        <f t="shared" si="17"/>
        <v>109031.98019212185</v>
      </c>
      <c r="X70" s="1198">
        <f t="shared" si="17"/>
        <v>111482.22077711104</v>
      </c>
      <c r="Y70" s="1064"/>
      <c r="Z70" s="1064"/>
      <c r="AA70" s="1064"/>
      <c r="AB70" s="1064"/>
      <c r="AC70" s="1064"/>
      <c r="AD70" s="1064"/>
      <c r="AE70" s="1064"/>
      <c r="AF70" s="1064"/>
      <c r="AG70" s="1064"/>
      <c r="AH70" s="1064"/>
      <c r="AI70" s="1064"/>
      <c r="AJ70" s="1064"/>
    </row>
    <row r="71" spans="1:51" s="1066" customFormat="1" ht="20.100000000000001" customHeight="1" thickBot="1" x14ac:dyDescent="0.4">
      <c r="A71" s="1064"/>
      <c r="B71" s="1109" t="s">
        <v>5</v>
      </c>
      <c r="C71" s="1173" t="s">
        <v>734</v>
      </c>
      <c r="D71" s="1112">
        <f>SUM(D67:D70)</f>
        <v>341808.65400419914</v>
      </c>
      <c r="E71" s="1112">
        <f>SUM(E67:E70)</f>
        <v>345674.08791415102</v>
      </c>
      <c r="F71" s="1112">
        <f t="shared" ref="F71:X71" si="18">SUM(F67:F70)</f>
        <v>285829.99660323845</v>
      </c>
      <c r="G71" s="1112">
        <f t="shared" si="18"/>
        <v>289199.36794750625</v>
      </c>
      <c r="H71" s="1112">
        <f t="shared" si="18"/>
        <v>292621.94107078377</v>
      </c>
      <c r="I71" s="1112">
        <f t="shared" si="18"/>
        <v>299534.38770040323</v>
      </c>
      <c r="J71" s="1112">
        <f t="shared" si="18"/>
        <v>304699.3704041834</v>
      </c>
      <c r="K71" s="1112">
        <f t="shared" si="18"/>
        <v>308352.26374863629</v>
      </c>
      <c r="L71" s="1112">
        <f t="shared" si="18"/>
        <v>312063.5145659775</v>
      </c>
      <c r="M71" s="1112">
        <f t="shared" si="18"/>
        <v>315834.21290866582</v>
      </c>
      <c r="N71" s="1112">
        <f t="shared" si="18"/>
        <v>319665.47108720557</v>
      </c>
      <c r="O71" s="1112">
        <f t="shared" si="18"/>
        <v>323558.42414718564</v>
      </c>
      <c r="P71" s="1112">
        <f t="shared" si="18"/>
        <v>327514.2303567974</v>
      </c>
      <c r="Q71" s="1112">
        <f t="shared" si="18"/>
        <v>331534.0717050645</v>
      </c>
      <c r="R71" s="1112">
        <f t="shared" si="18"/>
        <v>339628.42909254483</v>
      </c>
      <c r="S71" s="1112">
        <f t="shared" si="18"/>
        <v>343813.52714087022</v>
      </c>
      <c r="T71" s="1112">
        <f t="shared" si="18"/>
        <v>348066.68110185186</v>
      </c>
      <c r="U71" s="1112">
        <f t="shared" si="18"/>
        <v>352389.17640635039</v>
      </c>
      <c r="V71" s="1112">
        <f t="shared" si="18"/>
        <v>359311.40463832335</v>
      </c>
      <c r="W71" s="1112">
        <f t="shared" si="18"/>
        <v>363833.38034917729</v>
      </c>
      <c r="X71" s="1112">
        <f t="shared" si="18"/>
        <v>368429.99171597976</v>
      </c>
      <c r="Y71" s="1064"/>
      <c r="Z71" s="1064"/>
      <c r="AA71" s="1064"/>
      <c r="AB71" s="1064"/>
      <c r="AC71" s="1064"/>
      <c r="AD71" s="1064"/>
      <c r="AE71" s="1064"/>
      <c r="AF71" s="1064"/>
      <c r="AG71" s="1064"/>
      <c r="AH71" s="1064"/>
      <c r="AI71" s="1064"/>
      <c r="AJ71" s="1064"/>
    </row>
    <row r="72" spans="1:51" s="1066" customFormat="1" ht="15" customHeight="1" x14ac:dyDescent="0.25">
      <c r="A72" s="1064"/>
      <c r="Y72" s="1064"/>
      <c r="Z72" s="1064"/>
      <c r="AA72" s="1064"/>
      <c r="AB72" s="1064"/>
      <c r="AC72" s="1064"/>
      <c r="AD72" s="1064"/>
      <c r="AE72" s="1064"/>
      <c r="AF72" s="1064"/>
      <c r="AG72" s="1064"/>
      <c r="AH72" s="1064"/>
      <c r="AI72" s="1064"/>
      <c r="AJ72" s="1064"/>
    </row>
    <row r="73" spans="1:51" s="1064" customFormat="1" ht="27" customHeight="1" thickBot="1" x14ac:dyDescent="0.5">
      <c r="B73" s="1142"/>
      <c r="C73" s="1142"/>
      <c r="D73" s="1841" t="s">
        <v>739</v>
      </c>
      <c r="E73" s="1841"/>
      <c r="F73" s="1841"/>
      <c r="G73" s="1841"/>
      <c r="H73" s="1841"/>
      <c r="I73" s="1841"/>
      <c r="J73" s="1841"/>
      <c r="K73" s="1841"/>
      <c r="L73" s="1841"/>
      <c r="M73" s="1841"/>
      <c r="N73" s="1841"/>
      <c r="O73" s="1841"/>
      <c r="P73" s="1841"/>
      <c r="Q73" s="1841"/>
      <c r="R73" s="1841"/>
      <c r="S73" s="1841"/>
      <c r="T73" s="1841"/>
      <c r="U73" s="1841"/>
      <c r="V73" s="1841"/>
      <c r="W73" s="1841"/>
      <c r="X73" s="1841"/>
      <c r="Y73" s="1111"/>
      <c r="AG73" s="1143"/>
    </row>
    <row r="74" spans="1:51" s="1066" customFormat="1" ht="15" customHeight="1" thickBot="1" x14ac:dyDescent="0.3">
      <c r="A74" s="1064"/>
      <c r="B74" s="1090"/>
      <c r="C74" s="1197" t="s">
        <v>117</v>
      </c>
      <c r="D74" s="712">
        <v>2023</v>
      </c>
      <c r="E74" s="417">
        <f>D74+1</f>
        <v>2024</v>
      </c>
      <c r="F74" s="417">
        <f t="shared" ref="F74:X74" si="19">E74+1</f>
        <v>2025</v>
      </c>
      <c r="G74" s="417">
        <f t="shared" si="19"/>
        <v>2026</v>
      </c>
      <c r="H74" s="417">
        <f t="shared" si="19"/>
        <v>2027</v>
      </c>
      <c r="I74" s="417">
        <f t="shared" si="19"/>
        <v>2028</v>
      </c>
      <c r="J74" s="417">
        <f t="shared" si="19"/>
        <v>2029</v>
      </c>
      <c r="K74" s="417">
        <f t="shared" si="19"/>
        <v>2030</v>
      </c>
      <c r="L74" s="417">
        <f t="shared" si="19"/>
        <v>2031</v>
      </c>
      <c r="M74" s="417">
        <f t="shared" si="19"/>
        <v>2032</v>
      </c>
      <c r="N74" s="417">
        <f t="shared" si="19"/>
        <v>2033</v>
      </c>
      <c r="O74" s="417">
        <f t="shared" si="19"/>
        <v>2034</v>
      </c>
      <c r="P74" s="417">
        <f t="shared" si="19"/>
        <v>2035</v>
      </c>
      <c r="Q74" s="417">
        <f t="shared" si="19"/>
        <v>2036</v>
      </c>
      <c r="R74" s="417">
        <f t="shared" si="19"/>
        <v>2037</v>
      </c>
      <c r="S74" s="417">
        <f t="shared" si="19"/>
        <v>2038</v>
      </c>
      <c r="T74" s="417">
        <f t="shared" si="19"/>
        <v>2039</v>
      </c>
      <c r="U74" s="417">
        <f t="shared" si="19"/>
        <v>2040</v>
      </c>
      <c r="V74" s="417">
        <f t="shared" si="19"/>
        <v>2041</v>
      </c>
      <c r="W74" s="417">
        <f t="shared" si="19"/>
        <v>2042</v>
      </c>
      <c r="X74" s="713">
        <f t="shared" si="19"/>
        <v>2043</v>
      </c>
      <c r="Y74" s="1064"/>
      <c r="Z74" s="1064"/>
      <c r="AA74" s="1064"/>
      <c r="AB74" s="1064"/>
      <c r="AC74" s="1064"/>
      <c r="AD74" s="1064"/>
      <c r="AE74" s="1064"/>
      <c r="AF74" s="1064"/>
      <c r="AG74" s="1064"/>
      <c r="AH74" s="1064"/>
      <c r="AI74" s="1064"/>
      <c r="AJ74" s="1064"/>
    </row>
    <row r="75" spans="1:51" s="1066" customFormat="1" ht="20.100000000000001" customHeight="1" x14ac:dyDescent="0.35">
      <c r="A75" s="1064"/>
      <c r="B75" s="1070" t="s">
        <v>394</v>
      </c>
      <c r="C75" s="1165" t="s">
        <v>734</v>
      </c>
      <c r="D75" s="1199">
        <f t="shared" ref="D75:X75" si="20">D67-D59</f>
        <v>17354.8095716752</v>
      </c>
      <c r="E75" s="1145">
        <f t="shared" si="20"/>
        <v>17794.034045798093</v>
      </c>
      <c r="F75" s="1145">
        <f t="shared" si="20"/>
        <v>12707.292403301675</v>
      </c>
      <c r="G75" s="1145">
        <f t="shared" si="20"/>
        <v>13050.331276672281</v>
      </c>
      <c r="H75" s="1145">
        <f t="shared" si="20"/>
        <v>13398.723659373398</v>
      </c>
      <c r="I75" s="1145">
        <f t="shared" si="20"/>
        <v>15608.26987060903</v>
      </c>
      <c r="J75" s="1145">
        <f t="shared" si="20"/>
        <v>13672.671268816805</v>
      </c>
      <c r="K75" s="1145">
        <f t="shared" si="20"/>
        <v>14037.713570918248</v>
      </c>
      <c r="L75" s="1145">
        <f t="shared" si="20"/>
        <v>14408.439561469306</v>
      </c>
      <c r="M75" s="1145">
        <f t="shared" si="20"/>
        <v>14784.924362430596</v>
      </c>
      <c r="N75" s="1145">
        <f t="shared" si="20"/>
        <v>15167.244013174204</v>
      </c>
      <c r="O75" s="1145">
        <f t="shared" si="20"/>
        <v>7338.5529581730079</v>
      </c>
      <c r="P75" s="1145">
        <f t="shared" si="20"/>
        <v>7663.7207173064089</v>
      </c>
      <c r="Q75" s="1145">
        <f t="shared" si="20"/>
        <v>7994.3767446993152</v>
      </c>
      <c r="R75" s="1145">
        <f t="shared" si="20"/>
        <v>10538.056020574353</v>
      </c>
      <c r="S75" s="1145">
        <f t="shared" si="20"/>
        <v>10902.999788156434</v>
      </c>
      <c r="T75" s="1145">
        <f t="shared" si="20"/>
        <v>11273.900875656269</v>
      </c>
      <c r="U75" s="1145">
        <f t="shared" si="20"/>
        <v>11650.839574857644</v>
      </c>
      <c r="V75" s="1145">
        <f t="shared" si="20"/>
        <v>-2998.4426192088576</v>
      </c>
      <c r="W75" s="1145">
        <f t="shared" si="20"/>
        <v>-2735.5127312889963</v>
      </c>
      <c r="X75" s="1200">
        <f t="shared" si="20"/>
        <v>-2467.3600079958851</v>
      </c>
      <c r="Y75" s="1064"/>
      <c r="Z75" s="1064"/>
      <c r="AA75" s="1064"/>
      <c r="AB75" s="1064"/>
      <c r="AC75" s="1064"/>
      <c r="AD75" s="1064"/>
      <c r="AE75" s="1064"/>
      <c r="AF75" s="1064"/>
      <c r="AG75" s="1064"/>
      <c r="AH75" s="1064"/>
      <c r="AI75" s="1064"/>
      <c r="AJ75" s="1064"/>
    </row>
    <row r="76" spans="1:51" s="1066" customFormat="1" ht="20.100000000000001" customHeight="1" x14ac:dyDescent="0.35">
      <c r="A76" s="1064"/>
      <c r="B76" s="1076" t="s">
        <v>395</v>
      </c>
      <c r="C76" s="1165" t="s">
        <v>734</v>
      </c>
      <c r="D76" s="1201">
        <f t="shared" ref="D76:X76" si="21">D68-D60</f>
        <v>9556.1714345839864</v>
      </c>
      <c r="E76" s="1146">
        <f t="shared" si="21"/>
        <v>9714.677111952522</v>
      </c>
      <c r="F76" s="1146">
        <f t="shared" si="21"/>
        <v>6891.6783786043234</v>
      </c>
      <c r="G76" s="1146">
        <f t="shared" si="21"/>
        <v>7016.8357042637072</v>
      </c>
      <c r="H76" s="1146">
        <f t="shared" si="21"/>
        <v>7142.4184414688934</v>
      </c>
      <c r="I76" s="1146">
        <f t="shared" si="21"/>
        <v>8237.8734513067902</v>
      </c>
      <c r="J76" s="1146">
        <f t="shared" si="21"/>
        <v>7168.9181384727708</v>
      </c>
      <c r="K76" s="1146">
        <f t="shared" si="21"/>
        <v>7297.5005324803278</v>
      </c>
      <c r="L76" s="1146">
        <f t="shared" si="21"/>
        <v>7426.5197898358456</v>
      </c>
      <c r="M76" s="1146">
        <f t="shared" si="21"/>
        <v>7555.977171330007</v>
      </c>
      <c r="N76" s="1146">
        <f t="shared" si="21"/>
        <v>7685.8739412510986</v>
      </c>
      <c r="O76" s="1146">
        <f t="shared" si="21"/>
        <v>3720.8822322936758</v>
      </c>
      <c r="P76" s="1146">
        <f t="shared" si="21"/>
        <v>3848.448012294466</v>
      </c>
      <c r="Q76" s="1146">
        <f t="shared" si="21"/>
        <v>3976.4544730020425</v>
      </c>
      <c r="R76" s="1146">
        <f t="shared" si="21"/>
        <v>5181.1274527857749</v>
      </c>
      <c r="S76" s="1146">
        <f t="shared" si="21"/>
        <v>5312.9597662794185</v>
      </c>
      <c r="T76" s="1146">
        <f t="shared" si="21"/>
        <v>5445.244635319752</v>
      </c>
      <c r="U76" s="1146">
        <f t="shared" si="21"/>
        <v>5577.9833689200605</v>
      </c>
      <c r="V76" s="1146">
        <f t="shared" si="21"/>
        <v>-1393.5832416660996</v>
      </c>
      <c r="W76" s="1146">
        <f t="shared" si="21"/>
        <v>-1265.5078889985016</v>
      </c>
      <c r="X76" s="1202">
        <f t="shared" si="21"/>
        <v>-1136.9790975905053</v>
      </c>
      <c r="Y76" s="1064"/>
      <c r="Z76" s="1064"/>
      <c r="AA76" s="1064"/>
      <c r="AB76" s="1064"/>
      <c r="AC76" s="1064"/>
      <c r="AD76" s="1064"/>
      <c r="AE76" s="1064"/>
      <c r="AF76" s="1064"/>
      <c r="AG76" s="1064"/>
      <c r="AH76" s="1064"/>
      <c r="AI76" s="1064"/>
      <c r="AJ76" s="1064"/>
    </row>
    <row r="77" spans="1:51" s="1066" customFormat="1" ht="20.100000000000001" customHeight="1" x14ac:dyDescent="0.35">
      <c r="A77" s="1064"/>
      <c r="B77" s="1076" t="s">
        <v>396</v>
      </c>
      <c r="C77" s="1165" t="s">
        <v>734</v>
      </c>
      <c r="D77" s="1201">
        <f t="shared" ref="D77:X77" si="22">D69-D61</f>
        <v>5715.579865953121</v>
      </c>
      <c r="E77" s="1146">
        <f t="shared" si="22"/>
        <v>5859.7003778370999</v>
      </c>
      <c r="F77" s="1146">
        <f t="shared" si="22"/>
        <v>4184.5923839571406</v>
      </c>
      <c r="G77" s="1146">
        <f t="shared" si="22"/>
        <v>4297.1626014937792</v>
      </c>
      <c r="H77" s="1146">
        <f t="shared" si="22"/>
        <v>4411.4737774234818</v>
      </c>
      <c r="I77" s="1146">
        <f t="shared" si="22"/>
        <v>5138.0591315227939</v>
      </c>
      <c r="J77" s="1146">
        <f t="shared" si="22"/>
        <v>4501.010624560462</v>
      </c>
      <c r="K77" s="1146">
        <f t="shared" si="22"/>
        <v>4620.7519213654887</v>
      </c>
      <c r="L77" s="1146">
        <f t="shared" si="22"/>
        <v>4742.3407932177215</v>
      </c>
      <c r="M77" s="1146">
        <f t="shared" si="22"/>
        <v>4865.8014214585783</v>
      </c>
      <c r="N77" s="1146">
        <f t="shared" si="22"/>
        <v>4991.1582797993033</v>
      </c>
      <c r="O77" s="1146">
        <f t="shared" si="22"/>
        <v>2417.0360235205953</v>
      </c>
      <c r="P77" s="1146">
        <f t="shared" si="22"/>
        <v>2523.8287608115861</v>
      </c>
      <c r="Q77" s="1146">
        <f t="shared" si="22"/>
        <v>2632.406679195723</v>
      </c>
      <c r="R77" s="1146">
        <f t="shared" si="22"/>
        <v>3468.3839891571188</v>
      </c>
      <c r="S77" s="1146">
        <f t="shared" si="22"/>
        <v>3588.121864098277</v>
      </c>
      <c r="T77" s="1146">
        <f t="shared" si="22"/>
        <v>3709.7960791567748</v>
      </c>
      <c r="U77" s="1146">
        <f t="shared" si="22"/>
        <v>3833.4324726135819</v>
      </c>
      <c r="V77" s="1146">
        <f t="shared" si="22"/>
        <v>-979.54468876918691</v>
      </c>
      <c r="W77" s="1146">
        <f t="shared" si="22"/>
        <v>-892.91304460601532</v>
      </c>
      <c r="X77" s="1202">
        <f t="shared" si="22"/>
        <v>-804.58030924451305</v>
      </c>
      <c r="Y77" s="1064"/>
      <c r="Z77" s="1064"/>
      <c r="AA77" s="1064"/>
      <c r="AB77" s="1064"/>
      <c r="AC77" s="1064"/>
      <c r="AD77" s="1064"/>
      <c r="AE77" s="1064"/>
      <c r="AF77" s="1064"/>
      <c r="AG77" s="1064"/>
      <c r="AH77" s="1064"/>
      <c r="AI77" s="1064"/>
      <c r="AJ77" s="1064"/>
      <c r="AK77" s="1064"/>
      <c r="AL77" s="1064"/>
      <c r="AM77" s="1064"/>
      <c r="AN77" s="1064"/>
      <c r="AO77" s="1064"/>
      <c r="AP77" s="1064"/>
      <c r="AQ77" s="1064"/>
      <c r="AR77" s="1064"/>
      <c r="AS77" s="1064"/>
      <c r="AT77" s="1064"/>
      <c r="AU77" s="1064"/>
      <c r="AV77" s="1064"/>
      <c r="AW77" s="1064"/>
      <c r="AX77" s="1064"/>
      <c r="AY77" s="1064"/>
    </row>
    <row r="78" spans="1:51" s="1066" customFormat="1" ht="20.100000000000001" customHeight="1" thickBot="1" x14ac:dyDescent="0.4">
      <c r="A78" s="1064"/>
      <c r="B78" s="1108" t="s">
        <v>140</v>
      </c>
      <c r="C78" s="1165" t="s">
        <v>734</v>
      </c>
      <c r="D78" s="1201">
        <f t="shared" ref="D78:X78" si="23">D70-D62</f>
        <v>-8887.1831436736975</v>
      </c>
      <c r="E78" s="1146">
        <f t="shared" si="23"/>
        <v>-9797.8932105250133</v>
      </c>
      <c r="F78" s="1146">
        <f t="shared" si="23"/>
        <v>-7945.6069484502659</v>
      </c>
      <c r="G78" s="1146">
        <f t="shared" si="23"/>
        <v>-6859.6020375943917</v>
      </c>
      <c r="H78" s="1146">
        <f t="shared" si="23"/>
        <v>-5740.905591317889</v>
      </c>
      <c r="I78" s="1146">
        <f t="shared" si="23"/>
        <v>-4588.7286483519711</v>
      </c>
      <c r="J78" s="1146">
        <f t="shared" si="23"/>
        <v>-14942.892916573983</v>
      </c>
      <c r="K78" s="1146">
        <f t="shared" si="23"/>
        <v>-13771.389481875114</v>
      </c>
      <c r="L78" s="1146">
        <f t="shared" si="23"/>
        <v>-12563.682528047037</v>
      </c>
      <c r="M78" s="1146">
        <f t="shared" si="23"/>
        <v>-11318.893747664479</v>
      </c>
      <c r="N78" s="1146">
        <f t="shared" si="23"/>
        <v>-10036.124671319194</v>
      </c>
      <c r="O78" s="1146">
        <f t="shared" si="23"/>
        <v>-10880.129848027937</v>
      </c>
      <c r="P78" s="1146">
        <f t="shared" si="23"/>
        <v>-9532.8124811491725</v>
      </c>
      <c r="Q78" s="1146">
        <f t="shared" si="23"/>
        <v>-8144.7868125954701</v>
      </c>
      <c r="R78" s="1146">
        <f t="shared" si="23"/>
        <v>-6715.0696718002437</v>
      </c>
      <c r="S78" s="1146">
        <f t="shared" si="23"/>
        <v>-5242.6553458819835</v>
      </c>
      <c r="T78" s="1146">
        <f t="shared" si="23"/>
        <v>-3726.5150701234816</v>
      </c>
      <c r="U78" s="1146">
        <f t="shared" si="23"/>
        <v>-10344.120971384604</v>
      </c>
      <c r="V78" s="1146">
        <f t="shared" si="23"/>
        <v>-6261.857989127966</v>
      </c>
      <c r="W78" s="1146">
        <f t="shared" si="23"/>
        <v>-4605.2348760625027</v>
      </c>
      <c r="X78" s="1202">
        <f t="shared" si="23"/>
        <v>-2899.6058510653675</v>
      </c>
      <c r="Y78" s="1064"/>
      <c r="Z78" s="1064"/>
      <c r="AA78" s="1064"/>
      <c r="AB78" s="1064"/>
      <c r="AC78" s="1064"/>
      <c r="AD78" s="1064"/>
      <c r="AE78" s="1064"/>
      <c r="AF78" s="1064"/>
      <c r="AG78" s="1064"/>
      <c r="AH78" s="1064"/>
      <c r="AI78" s="1064"/>
      <c r="AJ78" s="1064"/>
    </row>
    <row r="79" spans="1:51" s="1066" customFormat="1" ht="20.100000000000001" customHeight="1" thickBot="1" x14ac:dyDescent="0.4">
      <c r="A79" s="1064"/>
      <c r="B79" s="1109" t="s">
        <v>5</v>
      </c>
      <c r="C79" s="1167" t="s">
        <v>734</v>
      </c>
      <c r="D79" s="1203">
        <f t="shared" ref="D79:X79" si="24">D71-D63</f>
        <v>23739.377728538588</v>
      </c>
      <c r="E79" s="1148">
        <f t="shared" si="24"/>
        <v>23570.518325062701</v>
      </c>
      <c r="F79" s="1148">
        <f t="shared" si="24"/>
        <v>15837.956217412895</v>
      </c>
      <c r="G79" s="1148">
        <f t="shared" si="24"/>
        <v>17504.727544835303</v>
      </c>
      <c r="H79" s="1148">
        <f t="shared" si="24"/>
        <v>19211.710286947899</v>
      </c>
      <c r="I79" s="1148">
        <f t="shared" si="24"/>
        <v>24395.473805086629</v>
      </c>
      <c r="J79" s="1148">
        <f t="shared" si="24"/>
        <v>10399.707115276018</v>
      </c>
      <c r="K79" s="1148">
        <f t="shared" si="24"/>
        <v>12184.576542888943</v>
      </c>
      <c r="L79" s="1148">
        <f t="shared" si="24"/>
        <v>14013.617616475793</v>
      </c>
      <c r="M79" s="1148">
        <f t="shared" si="24"/>
        <v>15887.809207554732</v>
      </c>
      <c r="N79" s="1148">
        <f t="shared" si="24"/>
        <v>17808.151562905405</v>
      </c>
      <c r="O79" s="1148">
        <f t="shared" si="24"/>
        <v>2596.3413659593207</v>
      </c>
      <c r="P79" s="1148">
        <f t="shared" si="24"/>
        <v>4503.1850092632812</v>
      </c>
      <c r="Q79" s="1148">
        <f t="shared" si="24"/>
        <v>6458.4510843016906</v>
      </c>
      <c r="R79" s="1148">
        <f t="shared" si="24"/>
        <v>12472.497790716996</v>
      </c>
      <c r="S79" s="1148">
        <f t="shared" si="24"/>
        <v>14561.426072652161</v>
      </c>
      <c r="T79" s="1148">
        <f t="shared" si="24"/>
        <v>16702.426520009292</v>
      </c>
      <c r="U79" s="1148">
        <f t="shared" si="24"/>
        <v>10718.134445006668</v>
      </c>
      <c r="V79" s="1148">
        <f t="shared" si="24"/>
        <v>-11633.428538772103</v>
      </c>
      <c r="W79" s="1148">
        <f t="shared" si="24"/>
        <v>-9499.1685409559868</v>
      </c>
      <c r="X79" s="1204">
        <f t="shared" si="24"/>
        <v>-7308.5252658962854</v>
      </c>
      <c r="Y79" s="1064"/>
      <c r="Z79" s="1064"/>
      <c r="AA79" s="1064"/>
      <c r="AB79" s="1064"/>
      <c r="AC79" s="1064"/>
      <c r="AD79" s="1064"/>
      <c r="AE79" s="1064"/>
      <c r="AF79" s="1064"/>
      <c r="AG79" s="1064"/>
      <c r="AH79" s="1064"/>
      <c r="AI79" s="1064"/>
      <c r="AJ79" s="1064"/>
    </row>
    <row r="80" spans="1:51" s="1066" customFormat="1" ht="15" customHeight="1" x14ac:dyDescent="0.25">
      <c r="A80" s="1064"/>
      <c r="Y80" s="1064"/>
      <c r="Z80" s="1064"/>
      <c r="AA80" s="1064"/>
      <c r="AB80" s="1064"/>
      <c r="AC80" s="1064"/>
      <c r="AD80" s="1064"/>
      <c r="AE80" s="1064"/>
      <c r="AF80" s="1064"/>
      <c r="AG80" s="1064"/>
      <c r="AH80" s="1064"/>
      <c r="AI80" s="1064"/>
      <c r="AJ80" s="1064"/>
    </row>
    <row r="81" spans="1:46" s="1066" customFormat="1" ht="15" customHeight="1" x14ac:dyDescent="0.25">
      <c r="A81" s="1064"/>
      <c r="D81" s="1067">
        <f>SUM(D75:D78)</f>
        <v>23739.37772853861</v>
      </c>
      <c r="E81" s="1067">
        <f t="shared" ref="E81:X81" si="25">SUM(E75:E78)</f>
        <v>23570.518325062701</v>
      </c>
      <c r="F81" s="1067">
        <f t="shared" si="25"/>
        <v>15837.956217412873</v>
      </c>
      <c r="G81" s="1067">
        <f t="shared" si="25"/>
        <v>17504.727544835376</v>
      </c>
      <c r="H81" s="1067">
        <f t="shared" si="25"/>
        <v>19211.710286947884</v>
      </c>
      <c r="I81" s="1067">
        <f t="shared" si="25"/>
        <v>24395.473805086644</v>
      </c>
      <c r="J81" s="1067">
        <f t="shared" si="25"/>
        <v>10399.707115276055</v>
      </c>
      <c r="K81" s="1067">
        <f t="shared" si="25"/>
        <v>12184.57654288895</v>
      </c>
      <c r="L81" s="1067">
        <f t="shared" si="25"/>
        <v>14013.617616475836</v>
      </c>
      <c r="M81" s="1067">
        <f t="shared" si="25"/>
        <v>15887.809207554703</v>
      </c>
      <c r="N81" s="1067">
        <f t="shared" si="25"/>
        <v>17808.151562905412</v>
      </c>
      <c r="O81" s="1067">
        <f t="shared" si="25"/>
        <v>2596.3413659593425</v>
      </c>
      <c r="P81" s="1067">
        <f t="shared" si="25"/>
        <v>4503.1850092632885</v>
      </c>
      <c r="Q81" s="1067">
        <f t="shared" si="25"/>
        <v>6458.4510843016105</v>
      </c>
      <c r="R81" s="1067">
        <f t="shared" si="25"/>
        <v>12472.497790717003</v>
      </c>
      <c r="S81" s="1067">
        <f t="shared" si="25"/>
        <v>14561.426072652146</v>
      </c>
      <c r="T81" s="1067">
        <f t="shared" si="25"/>
        <v>16702.426520009314</v>
      </c>
      <c r="U81" s="1067">
        <f t="shared" si="25"/>
        <v>10718.134445006683</v>
      </c>
      <c r="V81" s="1067">
        <f t="shared" si="25"/>
        <v>-11633.42853877211</v>
      </c>
      <c r="W81" s="1067">
        <f t="shared" si="25"/>
        <v>-9499.1685409560159</v>
      </c>
      <c r="X81" s="1067">
        <f t="shared" si="25"/>
        <v>-7308.5252658962709</v>
      </c>
      <c r="Y81" s="1064"/>
      <c r="Z81" s="1064"/>
      <c r="AA81" s="1064"/>
      <c r="AB81" s="1064"/>
      <c r="AC81" s="1064"/>
      <c r="AD81" s="1064"/>
      <c r="AE81" s="1064"/>
      <c r="AF81" s="1064"/>
      <c r="AG81" s="1064"/>
      <c r="AH81" s="1064"/>
      <c r="AI81" s="1064"/>
      <c r="AJ81" s="1064"/>
    </row>
    <row r="82" spans="1:46" s="1066" customFormat="1" ht="15" customHeight="1" thickBot="1" x14ac:dyDescent="0.3">
      <c r="A82" s="1064"/>
      <c r="D82" s="1067"/>
      <c r="Y82" s="1064"/>
      <c r="Z82" s="1064"/>
      <c r="AA82" s="1064"/>
      <c r="AB82" s="1064"/>
      <c r="AC82" s="1064"/>
      <c r="AD82" s="1064"/>
      <c r="AE82" s="1064"/>
      <c r="AF82" s="1064"/>
      <c r="AG82" s="1064"/>
      <c r="AH82" s="1064"/>
      <c r="AI82" s="1064"/>
      <c r="AJ82" s="1064"/>
    </row>
    <row r="83" spans="1:46" s="1066" customFormat="1" ht="30" customHeight="1" thickBot="1" x14ac:dyDescent="0.3">
      <c r="A83" s="1064"/>
      <c r="B83" s="1205" t="s">
        <v>872</v>
      </c>
      <c r="C83" s="1206"/>
      <c r="D83" s="1207">
        <f t="array" ref="D83:X83">TRANSPOSE(Rates!E89:E109)</f>
        <v>50</v>
      </c>
      <c r="E83" s="1207">
        <v>51</v>
      </c>
      <c r="F83" s="1207">
        <v>52</v>
      </c>
      <c r="G83" s="1207">
        <v>53</v>
      </c>
      <c r="H83" s="1207">
        <v>54</v>
      </c>
      <c r="I83" s="1207">
        <v>55</v>
      </c>
      <c r="J83" s="1207">
        <v>55</v>
      </c>
      <c r="K83" s="1207">
        <v>57</v>
      </c>
      <c r="L83" s="1207">
        <v>58</v>
      </c>
      <c r="M83" s="1207">
        <v>59</v>
      </c>
      <c r="N83" s="1207">
        <v>60</v>
      </c>
      <c r="O83" s="1207">
        <v>61</v>
      </c>
      <c r="P83" s="1207">
        <v>62</v>
      </c>
      <c r="Q83" s="1207">
        <v>63</v>
      </c>
      <c r="R83" s="1207">
        <v>64</v>
      </c>
      <c r="S83" s="1207">
        <v>66</v>
      </c>
      <c r="T83" s="1207">
        <v>67</v>
      </c>
      <c r="U83" s="1207">
        <v>68</v>
      </c>
      <c r="V83" s="1207">
        <v>69</v>
      </c>
      <c r="W83" s="1207">
        <v>69</v>
      </c>
      <c r="X83" s="1207">
        <v>70</v>
      </c>
      <c r="Y83" s="1064"/>
      <c r="Z83" s="1064"/>
      <c r="AA83" s="1064"/>
      <c r="AB83" s="1064"/>
      <c r="AC83" s="1064"/>
      <c r="AD83" s="1064"/>
      <c r="AE83" s="1064"/>
      <c r="AF83" s="1064"/>
      <c r="AG83" s="1111"/>
      <c r="AH83" s="1064"/>
      <c r="AI83" s="1064"/>
      <c r="AJ83" s="1064"/>
      <c r="AK83" s="1064"/>
      <c r="AL83" s="1064"/>
      <c r="AM83" s="1064"/>
      <c r="AN83" s="1064"/>
      <c r="AO83" s="1064"/>
      <c r="AP83" s="1064"/>
      <c r="AQ83" s="1064"/>
      <c r="AR83" s="1064"/>
      <c r="AS83" s="1064"/>
      <c r="AT83" s="1064"/>
    </row>
    <row r="84" spans="1:46" s="1066" customFormat="1" ht="15.75" customHeight="1" x14ac:dyDescent="0.25">
      <c r="A84" s="1064"/>
      <c r="B84" s="1858" t="s">
        <v>740</v>
      </c>
      <c r="C84" s="1858"/>
      <c r="D84" s="1858"/>
      <c r="E84" s="1858"/>
      <c r="F84" s="1208"/>
      <c r="G84" s="1208"/>
      <c r="H84" s="1208"/>
      <c r="I84" s="1154"/>
      <c r="J84" s="1154"/>
      <c r="K84" s="1154"/>
      <c r="L84" s="1154"/>
      <c r="M84" s="1154"/>
      <c r="N84" s="1154"/>
      <c r="O84" s="1154"/>
      <c r="P84" s="1154"/>
      <c r="Q84" s="1154"/>
      <c r="R84" s="1154"/>
      <c r="S84" s="1154"/>
      <c r="T84" s="1154"/>
      <c r="U84" s="1154"/>
      <c r="V84" s="1154"/>
      <c r="W84" s="1154"/>
      <c r="X84" s="1154"/>
      <c r="Y84" s="1154"/>
      <c r="Z84" s="1154"/>
      <c r="AA84" s="1154"/>
      <c r="AB84" s="1064"/>
      <c r="AC84" s="1064"/>
      <c r="AD84" s="1064"/>
      <c r="AE84" s="1064"/>
      <c r="AF84" s="1064"/>
      <c r="AG84" s="1064"/>
      <c r="AH84" s="1064"/>
      <c r="AI84" s="1064"/>
      <c r="AJ84" s="1064"/>
    </row>
    <row r="85" spans="1:46" s="1066" customFormat="1" ht="15" customHeight="1" thickBot="1" x14ac:dyDescent="0.3">
      <c r="A85" s="1064"/>
      <c r="D85" s="1156"/>
      <c r="G85" s="1157"/>
      <c r="H85" s="1157"/>
      <c r="I85" s="1157"/>
      <c r="J85" s="1157"/>
      <c r="K85" s="1157"/>
      <c r="L85" s="1157"/>
      <c r="M85" s="1157"/>
      <c r="N85" s="1157"/>
      <c r="O85" s="1157"/>
      <c r="P85" s="1157"/>
      <c r="Q85" s="1157"/>
      <c r="R85" s="1157"/>
      <c r="S85" s="1157"/>
      <c r="T85" s="1157"/>
      <c r="U85" s="1157"/>
      <c r="V85" s="1157"/>
      <c r="W85" s="1157"/>
      <c r="X85" s="1157"/>
      <c r="Y85" s="1154"/>
      <c r="Z85" s="1154"/>
      <c r="AA85" s="1154"/>
      <c r="AB85" s="1064"/>
      <c r="AC85" s="1064"/>
      <c r="AD85" s="1064"/>
      <c r="AE85" s="1064"/>
      <c r="AF85" s="1064"/>
      <c r="AG85" s="1064"/>
      <c r="AH85" s="1064"/>
      <c r="AI85" s="1064"/>
      <c r="AJ85" s="1064"/>
    </row>
    <row r="86" spans="1:46" s="1066" customFormat="1" ht="20.100000000000001" customHeight="1" thickBot="1" x14ac:dyDescent="0.3">
      <c r="A86" s="1064"/>
      <c r="B86" s="1064"/>
      <c r="C86" s="1197" t="s">
        <v>117</v>
      </c>
      <c r="D86" s="712">
        <v>2023</v>
      </c>
      <c r="E86" s="417">
        <f>D86+1</f>
        <v>2024</v>
      </c>
      <c r="F86" s="417">
        <f t="shared" ref="F86:X86" si="26">E86+1</f>
        <v>2025</v>
      </c>
      <c r="G86" s="417">
        <f t="shared" si="26"/>
        <v>2026</v>
      </c>
      <c r="H86" s="417">
        <f t="shared" si="26"/>
        <v>2027</v>
      </c>
      <c r="I86" s="417">
        <f t="shared" si="26"/>
        <v>2028</v>
      </c>
      <c r="J86" s="417">
        <f t="shared" si="26"/>
        <v>2029</v>
      </c>
      <c r="K86" s="417">
        <f t="shared" si="26"/>
        <v>2030</v>
      </c>
      <c r="L86" s="417">
        <f t="shared" si="26"/>
        <v>2031</v>
      </c>
      <c r="M86" s="417">
        <f t="shared" si="26"/>
        <v>2032</v>
      </c>
      <c r="N86" s="417">
        <f t="shared" si="26"/>
        <v>2033</v>
      </c>
      <c r="O86" s="417">
        <f t="shared" si="26"/>
        <v>2034</v>
      </c>
      <c r="P86" s="417">
        <f t="shared" si="26"/>
        <v>2035</v>
      </c>
      <c r="Q86" s="417">
        <f t="shared" si="26"/>
        <v>2036</v>
      </c>
      <c r="R86" s="417">
        <f t="shared" si="26"/>
        <v>2037</v>
      </c>
      <c r="S86" s="417">
        <f t="shared" si="26"/>
        <v>2038</v>
      </c>
      <c r="T86" s="417">
        <f t="shared" si="26"/>
        <v>2039</v>
      </c>
      <c r="U86" s="417">
        <f t="shared" si="26"/>
        <v>2040</v>
      </c>
      <c r="V86" s="417">
        <f t="shared" si="26"/>
        <v>2041</v>
      </c>
      <c r="W86" s="417">
        <f t="shared" si="26"/>
        <v>2042</v>
      </c>
      <c r="X86" s="713">
        <f t="shared" si="26"/>
        <v>2043</v>
      </c>
      <c r="Y86" s="1064"/>
      <c r="Z86" s="1064"/>
      <c r="AA86" s="1064"/>
      <c r="AB86" s="1064"/>
      <c r="AC86" s="1064"/>
      <c r="AD86" s="1064"/>
      <c r="AE86" s="1064"/>
      <c r="AF86" s="1064"/>
      <c r="AG86" s="1064"/>
      <c r="AH86" s="1064"/>
      <c r="AI86" s="1064"/>
      <c r="AJ86" s="1064"/>
    </row>
    <row r="87" spans="1:46" s="1066" customFormat="1" ht="20.100000000000001" customHeight="1" x14ac:dyDescent="0.35">
      <c r="A87" s="1064"/>
      <c r="B87" s="1158" t="s">
        <v>394</v>
      </c>
      <c r="C87" s="1165" t="s">
        <v>734</v>
      </c>
      <c r="D87" s="1160">
        <f t="shared" ref="D87:X87" si="27">D$83*D75</f>
        <v>867740.47858375998</v>
      </c>
      <c r="E87" s="1161">
        <f t="shared" si="27"/>
        <v>907495.73633570271</v>
      </c>
      <c r="F87" s="1161">
        <f t="shared" si="27"/>
        <v>660779.20497168717</v>
      </c>
      <c r="G87" s="1161">
        <f t="shared" si="27"/>
        <v>691667.55766363093</v>
      </c>
      <c r="H87" s="1161">
        <f t="shared" si="27"/>
        <v>723531.07760616345</v>
      </c>
      <c r="I87" s="1161">
        <f t="shared" si="27"/>
        <v>858454.84288349666</v>
      </c>
      <c r="J87" s="1161">
        <f t="shared" si="27"/>
        <v>751996.91978492425</v>
      </c>
      <c r="K87" s="1161">
        <f t="shared" si="27"/>
        <v>800149.67354234005</v>
      </c>
      <c r="L87" s="1161">
        <f t="shared" si="27"/>
        <v>835689.49456521973</v>
      </c>
      <c r="M87" s="1161">
        <f t="shared" si="27"/>
        <v>872310.53738340514</v>
      </c>
      <c r="N87" s="1161">
        <f t="shared" si="27"/>
        <v>910034.64079045225</v>
      </c>
      <c r="O87" s="1161">
        <f t="shared" si="27"/>
        <v>447651.73044855346</v>
      </c>
      <c r="P87" s="1161">
        <f t="shared" si="27"/>
        <v>475150.68447299732</v>
      </c>
      <c r="Q87" s="1161">
        <f t="shared" si="27"/>
        <v>503645.73491605686</v>
      </c>
      <c r="R87" s="1161">
        <f t="shared" si="27"/>
        <v>674435.5853167586</v>
      </c>
      <c r="S87" s="1161">
        <f t="shared" si="27"/>
        <v>719597.98601832462</v>
      </c>
      <c r="T87" s="1161">
        <f t="shared" si="27"/>
        <v>755351.35866897006</v>
      </c>
      <c r="U87" s="1161">
        <f t="shared" si="27"/>
        <v>792257.09109031979</v>
      </c>
      <c r="V87" s="1161">
        <f t="shared" si="27"/>
        <v>-206892.54072541118</v>
      </c>
      <c r="W87" s="1161">
        <f t="shared" si="27"/>
        <v>-188750.37845894074</v>
      </c>
      <c r="X87" s="1209">
        <f t="shared" si="27"/>
        <v>-172715.20055971196</v>
      </c>
      <c r="Y87" s="1064"/>
      <c r="Z87" s="1064"/>
      <c r="AA87" s="1064"/>
      <c r="AB87" s="1064"/>
      <c r="AC87" s="1064"/>
      <c r="AD87" s="1064"/>
      <c r="AE87" s="1064"/>
      <c r="AF87" s="1064"/>
      <c r="AG87" s="1146"/>
      <c r="AH87" s="1064"/>
      <c r="AI87" s="1064"/>
      <c r="AJ87" s="1064"/>
    </row>
    <row r="88" spans="1:46" s="1066" customFormat="1" ht="20.100000000000001" customHeight="1" x14ac:dyDescent="0.35">
      <c r="A88" s="1064"/>
      <c r="B88" s="1164" t="s">
        <v>467</v>
      </c>
      <c r="C88" s="1165" t="s">
        <v>734</v>
      </c>
      <c r="D88" s="1166">
        <f t="shared" ref="D88:X88" si="28">D$83*D76</f>
        <v>477808.57172919932</v>
      </c>
      <c r="E88" s="1162">
        <f t="shared" si="28"/>
        <v>495448.53270957863</v>
      </c>
      <c r="F88" s="1162">
        <f t="shared" si="28"/>
        <v>358367.27568742482</v>
      </c>
      <c r="G88" s="1162">
        <f t="shared" si="28"/>
        <v>371892.29232597648</v>
      </c>
      <c r="H88" s="1162">
        <f t="shared" si="28"/>
        <v>385690.59583932022</v>
      </c>
      <c r="I88" s="1162">
        <f t="shared" si="28"/>
        <v>453083.03982187348</v>
      </c>
      <c r="J88" s="1162">
        <f t="shared" si="28"/>
        <v>394290.49761600239</v>
      </c>
      <c r="K88" s="1162">
        <f t="shared" si="28"/>
        <v>415957.53035137866</v>
      </c>
      <c r="L88" s="1162">
        <f t="shared" si="28"/>
        <v>430738.14781047904</v>
      </c>
      <c r="M88" s="1162">
        <f t="shared" si="28"/>
        <v>445802.65310847043</v>
      </c>
      <c r="N88" s="1162">
        <f t="shared" si="28"/>
        <v>461152.43647506589</v>
      </c>
      <c r="O88" s="1162">
        <f t="shared" si="28"/>
        <v>226973.81616991421</v>
      </c>
      <c r="P88" s="1162">
        <f t="shared" si="28"/>
        <v>238603.77676225689</v>
      </c>
      <c r="Q88" s="1162">
        <f t="shared" si="28"/>
        <v>250516.63179912866</v>
      </c>
      <c r="R88" s="1162">
        <f t="shared" si="28"/>
        <v>331592.1569782896</v>
      </c>
      <c r="S88" s="1162">
        <f t="shared" si="28"/>
        <v>350655.34457444161</v>
      </c>
      <c r="T88" s="1162">
        <f t="shared" si="28"/>
        <v>364831.39056642336</v>
      </c>
      <c r="U88" s="1162">
        <f t="shared" si="28"/>
        <v>379302.86908656411</v>
      </c>
      <c r="V88" s="1162">
        <f t="shared" si="28"/>
        <v>-96157.243674960875</v>
      </c>
      <c r="W88" s="1162">
        <f t="shared" si="28"/>
        <v>-87320.044340896609</v>
      </c>
      <c r="X88" s="1163">
        <f t="shared" si="28"/>
        <v>-79588.536831335368</v>
      </c>
      <c r="Y88" s="1064"/>
      <c r="Z88" s="1064"/>
      <c r="AA88" s="1064"/>
      <c r="AB88" s="1064"/>
      <c r="AC88" s="1064"/>
      <c r="AD88" s="1064"/>
      <c r="AE88" s="1064"/>
      <c r="AF88" s="1064"/>
      <c r="AG88" s="1146"/>
      <c r="AH88" s="1064"/>
      <c r="AI88" s="1064"/>
      <c r="AJ88" s="1064"/>
    </row>
    <row r="89" spans="1:46" s="1066" customFormat="1" ht="20.100000000000001" customHeight="1" x14ac:dyDescent="0.35">
      <c r="A89" s="1064"/>
      <c r="B89" s="1158" t="s">
        <v>396</v>
      </c>
      <c r="C89" s="1165" t="s">
        <v>734</v>
      </c>
      <c r="D89" s="1166">
        <f t="shared" ref="D89:X89" si="29">D$83*D77</f>
        <v>285778.99329765607</v>
      </c>
      <c r="E89" s="1162">
        <f t="shared" si="29"/>
        <v>298844.71926969208</v>
      </c>
      <c r="F89" s="1162">
        <f t="shared" si="29"/>
        <v>217598.80396577131</v>
      </c>
      <c r="G89" s="1162">
        <f t="shared" si="29"/>
        <v>227749.61787917028</v>
      </c>
      <c r="H89" s="1162">
        <f t="shared" si="29"/>
        <v>238219.58398086802</v>
      </c>
      <c r="I89" s="1162">
        <f t="shared" si="29"/>
        <v>282593.25223375368</v>
      </c>
      <c r="J89" s="1162">
        <f t="shared" si="29"/>
        <v>247555.5843508254</v>
      </c>
      <c r="K89" s="1162">
        <f t="shared" si="29"/>
        <v>263382.85951783287</v>
      </c>
      <c r="L89" s="1162">
        <f t="shared" si="29"/>
        <v>275055.76600662782</v>
      </c>
      <c r="M89" s="1162">
        <f t="shared" si="29"/>
        <v>287082.28386605612</v>
      </c>
      <c r="N89" s="1162">
        <f t="shared" si="29"/>
        <v>299469.4967879582</v>
      </c>
      <c r="O89" s="1162">
        <f t="shared" si="29"/>
        <v>147439.19743475632</v>
      </c>
      <c r="P89" s="1162">
        <f t="shared" si="29"/>
        <v>156477.38317031832</v>
      </c>
      <c r="Q89" s="1162">
        <f t="shared" si="29"/>
        <v>165841.62078933054</v>
      </c>
      <c r="R89" s="1162">
        <f t="shared" si="29"/>
        <v>221976.5753060556</v>
      </c>
      <c r="S89" s="1162">
        <f t="shared" si="29"/>
        <v>236816.04303048627</v>
      </c>
      <c r="T89" s="1162">
        <f t="shared" si="29"/>
        <v>248556.33730350391</v>
      </c>
      <c r="U89" s="1162">
        <f t="shared" si="29"/>
        <v>260673.40813772357</v>
      </c>
      <c r="V89" s="1162">
        <f t="shared" si="29"/>
        <v>-67588.583525073889</v>
      </c>
      <c r="W89" s="1162">
        <f t="shared" si="29"/>
        <v>-61611.000077815057</v>
      </c>
      <c r="X89" s="1163">
        <f t="shared" si="29"/>
        <v>-56320.621647115913</v>
      </c>
      <c r="Y89" s="1064"/>
      <c r="Z89" s="1064"/>
      <c r="AA89" s="1064"/>
      <c r="AB89" s="1064"/>
      <c r="AC89" s="1064"/>
      <c r="AD89" s="1064"/>
      <c r="AE89" s="1064"/>
      <c r="AF89" s="1064"/>
      <c r="AG89" s="1146"/>
      <c r="AH89" s="1064"/>
      <c r="AI89" s="1064"/>
      <c r="AJ89" s="1064"/>
    </row>
    <row r="90" spans="1:46" s="1066" customFormat="1" ht="20.100000000000001" customHeight="1" x14ac:dyDescent="0.35">
      <c r="A90" s="1064"/>
      <c r="B90" s="1158" t="s">
        <v>140</v>
      </c>
      <c r="C90" s="1165" t="s">
        <v>734</v>
      </c>
      <c r="D90" s="1166">
        <f t="shared" ref="D90:X90" si="30">D$83*D78</f>
        <v>-444359.15718368487</v>
      </c>
      <c r="E90" s="1162">
        <f t="shared" si="30"/>
        <v>-499692.55373677565</v>
      </c>
      <c r="F90" s="1162">
        <f t="shared" si="30"/>
        <v>-413171.56131941383</v>
      </c>
      <c r="G90" s="1162">
        <f t="shared" si="30"/>
        <v>-363558.90799250279</v>
      </c>
      <c r="H90" s="1162">
        <f t="shared" si="30"/>
        <v>-310008.90193116601</v>
      </c>
      <c r="I90" s="1162">
        <f t="shared" si="30"/>
        <v>-252380.07565935841</v>
      </c>
      <c r="J90" s="1162">
        <f t="shared" si="30"/>
        <v>-821859.11041156901</v>
      </c>
      <c r="K90" s="1162">
        <f t="shared" si="30"/>
        <v>-784969.20046688151</v>
      </c>
      <c r="L90" s="1162">
        <f t="shared" si="30"/>
        <v>-728693.58662672807</v>
      </c>
      <c r="M90" s="1162">
        <f t="shared" si="30"/>
        <v>-667814.73111220426</v>
      </c>
      <c r="N90" s="1162">
        <f t="shared" si="30"/>
        <v>-602167.48027915158</v>
      </c>
      <c r="O90" s="1162">
        <f t="shared" si="30"/>
        <v>-663687.92072970408</v>
      </c>
      <c r="P90" s="1162">
        <f t="shared" si="30"/>
        <v>-591034.37383124873</v>
      </c>
      <c r="Q90" s="1162">
        <f t="shared" si="30"/>
        <v>-513121.56919351465</v>
      </c>
      <c r="R90" s="1162">
        <f t="shared" si="30"/>
        <v>-429764.45899521559</v>
      </c>
      <c r="S90" s="1162">
        <f t="shared" si="30"/>
        <v>-346015.25282821094</v>
      </c>
      <c r="T90" s="1162">
        <f t="shared" si="30"/>
        <v>-249676.50969827326</v>
      </c>
      <c r="U90" s="1162">
        <f t="shared" si="30"/>
        <v>-703400.22605415306</v>
      </c>
      <c r="V90" s="1162">
        <f t="shared" si="30"/>
        <v>-432068.20124982967</v>
      </c>
      <c r="W90" s="1162">
        <f t="shared" si="30"/>
        <v>-317761.20644831267</v>
      </c>
      <c r="X90" s="1163">
        <f t="shared" si="30"/>
        <v>-202972.40957457572</v>
      </c>
      <c r="Y90" s="1064"/>
      <c r="Z90" s="1064"/>
      <c r="AA90" s="1064"/>
      <c r="AB90" s="1064"/>
      <c r="AC90" s="1064"/>
      <c r="AD90" s="1064"/>
      <c r="AE90" s="1064"/>
      <c r="AF90" s="1064"/>
      <c r="AG90" s="1146"/>
      <c r="AH90" s="1064"/>
      <c r="AI90" s="1064"/>
      <c r="AJ90" s="1064"/>
    </row>
    <row r="91" spans="1:46" s="1066" customFormat="1" ht="20.100000000000001" customHeight="1" thickBot="1" x14ac:dyDescent="0.4">
      <c r="A91" s="1064"/>
      <c r="B91" s="1158" t="s">
        <v>5</v>
      </c>
      <c r="C91" s="1167" t="s">
        <v>734</v>
      </c>
      <c r="D91" s="1168">
        <f t="shared" ref="D91:X91" si="31">D$83*D79</f>
        <v>1186968.8864269294</v>
      </c>
      <c r="E91" s="1169">
        <f t="shared" si="31"/>
        <v>1202096.4345781978</v>
      </c>
      <c r="F91" s="1169">
        <f t="shared" si="31"/>
        <v>823573.72330547054</v>
      </c>
      <c r="G91" s="1169">
        <f t="shared" si="31"/>
        <v>927750.55987627106</v>
      </c>
      <c r="H91" s="1169">
        <f t="shared" si="31"/>
        <v>1037432.3554951865</v>
      </c>
      <c r="I91" s="1169">
        <f t="shared" si="31"/>
        <v>1341751.0592797645</v>
      </c>
      <c r="J91" s="1169">
        <f t="shared" si="31"/>
        <v>571983.891340181</v>
      </c>
      <c r="K91" s="1169">
        <f t="shared" si="31"/>
        <v>694520.86294466979</v>
      </c>
      <c r="L91" s="1169">
        <f t="shared" si="31"/>
        <v>812789.82175559597</v>
      </c>
      <c r="M91" s="1169">
        <f t="shared" si="31"/>
        <v>937380.74324572925</v>
      </c>
      <c r="N91" s="1169">
        <f t="shared" si="31"/>
        <v>1068489.0937743243</v>
      </c>
      <c r="O91" s="1169">
        <f t="shared" si="31"/>
        <v>158376.82332351856</v>
      </c>
      <c r="P91" s="1169">
        <f t="shared" si="31"/>
        <v>279197.47057432344</v>
      </c>
      <c r="Q91" s="1169">
        <f t="shared" si="31"/>
        <v>406882.41831100651</v>
      </c>
      <c r="R91" s="1169">
        <f t="shared" si="31"/>
        <v>798239.85860588774</v>
      </c>
      <c r="S91" s="1169">
        <f t="shared" si="31"/>
        <v>961054.1207950426</v>
      </c>
      <c r="T91" s="1169">
        <f t="shared" si="31"/>
        <v>1119062.5768406226</v>
      </c>
      <c r="U91" s="1169">
        <f t="shared" si="31"/>
        <v>728833.14226045343</v>
      </c>
      <c r="V91" s="1169">
        <f t="shared" si="31"/>
        <v>-802706.56917527504</v>
      </c>
      <c r="W91" s="1169">
        <f t="shared" si="31"/>
        <v>-655442.62932596309</v>
      </c>
      <c r="X91" s="1170">
        <f t="shared" si="31"/>
        <v>-511596.76861273998</v>
      </c>
      <c r="Y91" s="1064"/>
      <c r="Z91" s="1064"/>
      <c r="AA91" s="1064"/>
      <c r="AB91" s="1064"/>
      <c r="AC91" s="1064"/>
      <c r="AD91" s="1064"/>
      <c r="AE91" s="1064"/>
      <c r="AF91" s="1064"/>
      <c r="AG91" s="1146"/>
      <c r="AH91" s="1064"/>
      <c r="AI91" s="1064"/>
      <c r="AJ91" s="1064"/>
    </row>
    <row r="92" spans="1:46" s="1064" customFormat="1" ht="20.100000000000001" customHeight="1" thickBot="1" x14ac:dyDescent="0.25">
      <c r="B92" s="1136"/>
      <c r="C92" s="1095"/>
      <c r="D92" s="1146"/>
      <c r="E92" s="1146"/>
      <c r="F92" s="1146"/>
      <c r="G92" s="1146"/>
      <c r="H92" s="1146"/>
      <c r="I92" s="1146"/>
      <c r="J92" s="1146"/>
      <c r="K92" s="1146"/>
      <c r="L92" s="1146"/>
      <c r="M92" s="1146"/>
      <c r="N92" s="1146"/>
      <c r="O92" s="1146"/>
      <c r="P92" s="1146"/>
      <c r="Q92" s="1146"/>
      <c r="R92" s="1146"/>
      <c r="S92" s="1146"/>
      <c r="T92" s="1146"/>
      <c r="U92" s="1146"/>
      <c r="V92" s="1146"/>
      <c r="W92" s="1146"/>
      <c r="X92" s="1146"/>
      <c r="AG92" s="1146"/>
    </row>
    <row r="93" spans="1:46" s="1066" customFormat="1" ht="20.100000000000001" customHeight="1" thickBot="1" x14ac:dyDescent="0.3">
      <c r="A93" s="1064"/>
      <c r="B93" s="1064"/>
      <c r="C93" s="1197" t="s">
        <v>117</v>
      </c>
      <c r="D93" s="712">
        <v>2023</v>
      </c>
      <c r="E93" s="417">
        <f>D93+1</f>
        <v>2024</v>
      </c>
      <c r="F93" s="417">
        <f t="shared" ref="F93:X93" si="32">E93+1</f>
        <v>2025</v>
      </c>
      <c r="G93" s="417">
        <f t="shared" si="32"/>
        <v>2026</v>
      </c>
      <c r="H93" s="417">
        <f t="shared" si="32"/>
        <v>2027</v>
      </c>
      <c r="I93" s="417">
        <f t="shared" si="32"/>
        <v>2028</v>
      </c>
      <c r="J93" s="417">
        <f t="shared" si="32"/>
        <v>2029</v>
      </c>
      <c r="K93" s="417">
        <f t="shared" si="32"/>
        <v>2030</v>
      </c>
      <c r="L93" s="417">
        <f t="shared" si="32"/>
        <v>2031</v>
      </c>
      <c r="M93" s="417">
        <f t="shared" si="32"/>
        <v>2032</v>
      </c>
      <c r="N93" s="417">
        <f t="shared" si="32"/>
        <v>2033</v>
      </c>
      <c r="O93" s="417">
        <f t="shared" si="32"/>
        <v>2034</v>
      </c>
      <c r="P93" s="417">
        <f t="shared" si="32"/>
        <v>2035</v>
      </c>
      <c r="Q93" s="417">
        <f t="shared" si="32"/>
        <v>2036</v>
      </c>
      <c r="R93" s="417">
        <f t="shared" si="32"/>
        <v>2037</v>
      </c>
      <c r="S93" s="417">
        <f t="shared" si="32"/>
        <v>2038</v>
      </c>
      <c r="T93" s="417">
        <f t="shared" si="32"/>
        <v>2039</v>
      </c>
      <c r="U93" s="417">
        <f t="shared" si="32"/>
        <v>2040</v>
      </c>
      <c r="V93" s="417">
        <f t="shared" si="32"/>
        <v>2041</v>
      </c>
      <c r="W93" s="417">
        <f t="shared" si="32"/>
        <v>2042</v>
      </c>
      <c r="X93" s="713">
        <f t="shared" si="32"/>
        <v>2043</v>
      </c>
      <c r="Y93" s="1064"/>
      <c r="Z93" s="1064"/>
      <c r="AA93" s="1064"/>
      <c r="AB93" s="1064"/>
      <c r="AC93" s="1064"/>
      <c r="AD93" s="1064"/>
      <c r="AE93" s="1064"/>
      <c r="AF93" s="1064"/>
      <c r="AG93" s="1064"/>
      <c r="AH93" s="1064"/>
      <c r="AI93" s="1064"/>
      <c r="AJ93" s="1064"/>
    </row>
    <row r="94" spans="1:46" s="1066" customFormat="1" ht="20.100000000000001" customHeight="1" x14ac:dyDescent="0.35">
      <c r="A94" s="1064"/>
      <c r="B94" s="1158" t="s">
        <v>385</v>
      </c>
      <c r="C94" s="1165" t="s">
        <v>734</v>
      </c>
      <c r="D94" s="1166">
        <f>SUM(D87:D89)</f>
        <v>1631328.0436106154</v>
      </c>
      <c r="E94" s="1162">
        <f t="shared" ref="E94:X94" si="33">SUM(E87:E89)</f>
        <v>1701788.9883149732</v>
      </c>
      <c r="F94" s="1162">
        <f t="shared" si="33"/>
        <v>1236745.2846248832</v>
      </c>
      <c r="G94" s="1162">
        <f t="shared" si="33"/>
        <v>1291309.4678687777</v>
      </c>
      <c r="H94" s="1162">
        <f t="shared" si="33"/>
        <v>1347441.2574263518</v>
      </c>
      <c r="I94" s="1162">
        <f t="shared" si="33"/>
        <v>1594131.1349391239</v>
      </c>
      <c r="J94" s="1162">
        <f t="shared" si="33"/>
        <v>1393843.0017517521</v>
      </c>
      <c r="K94" s="1162">
        <f t="shared" si="33"/>
        <v>1479490.0634115515</v>
      </c>
      <c r="L94" s="1162">
        <f t="shared" si="33"/>
        <v>1541483.4083823266</v>
      </c>
      <c r="M94" s="1162">
        <f t="shared" si="33"/>
        <v>1605195.4743579319</v>
      </c>
      <c r="N94" s="1162">
        <f t="shared" si="33"/>
        <v>1670656.5740534766</v>
      </c>
      <c r="O94" s="1162">
        <f t="shared" si="33"/>
        <v>822064.74405322399</v>
      </c>
      <c r="P94" s="1162">
        <f t="shared" si="33"/>
        <v>870231.84440557251</v>
      </c>
      <c r="Q94" s="1162">
        <f t="shared" si="33"/>
        <v>920003.98750451615</v>
      </c>
      <c r="R94" s="1162">
        <f t="shared" si="33"/>
        <v>1228004.3176011038</v>
      </c>
      <c r="S94" s="1162">
        <f t="shared" si="33"/>
        <v>1307069.3736232524</v>
      </c>
      <c r="T94" s="1162">
        <f t="shared" si="33"/>
        <v>1368739.0865388974</v>
      </c>
      <c r="U94" s="1162">
        <f t="shared" si="33"/>
        <v>1432233.3683146075</v>
      </c>
      <c r="V94" s="1162">
        <f t="shared" si="33"/>
        <v>-370638.36792544596</v>
      </c>
      <c r="W94" s="1162">
        <f t="shared" si="33"/>
        <v>-337681.42287765245</v>
      </c>
      <c r="X94" s="1163">
        <f t="shared" si="33"/>
        <v>-308624.35903816321</v>
      </c>
      <c r="Y94" s="1162">
        <f>SUM(D94:X94)</f>
        <v>23424815.270941675</v>
      </c>
      <c r="Z94" s="1064"/>
      <c r="AA94" s="1064"/>
      <c r="AB94" s="1064"/>
      <c r="AC94" s="1064"/>
      <c r="AD94" s="1064"/>
      <c r="AE94" s="1064"/>
      <c r="AF94" s="1064"/>
      <c r="AG94" s="1146"/>
      <c r="AH94" s="1064"/>
      <c r="AI94" s="1064"/>
      <c r="AJ94" s="1064"/>
    </row>
    <row r="95" spans="1:46" s="1066" customFormat="1" ht="20.100000000000001" customHeight="1" x14ac:dyDescent="0.35">
      <c r="A95" s="1064"/>
      <c r="B95" s="1158" t="s">
        <v>140</v>
      </c>
      <c r="C95" s="1165" t="s">
        <v>734</v>
      </c>
      <c r="D95" s="1166">
        <f>D90</f>
        <v>-444359.15718368487</v>
      </c>
      <c r="E95" s="1162">
        <f t="shared" ref="E95:X95" si="34">E90</f>
        <v>-499692.55373677565</v>
      </c>
      <c r="F95" s="1162">
        <f t="shared" si="34"/>
        <v>-413171.56131941383</v>
      </c>
      <c r="G95" s="1162">
        <f t="shared" si="34"/>
        <v>-363558.90799250279</v>
      </c>
      <c r="H95" s="1162">
        <f t="shared" si="34"/>
        <v>-310008.90193116601</v>
      </c>
      <c r="I95" s="1162">
        <f t="shared" si="34"/>
        <v>-252380.07565935841</v>
      </c>
      <c r="J95" s="1162">
        <f t="shared" si="34"/>
        <v>-821859.11041156901</v>
      </c>
      <c r="K95" s="1162">
        <f t="shared" si="34"/>
        <v>-784969.20046688151</v>
      </c>
      <c r="L95" s="1162">
        <f t="shared" si="34"/>
        <v>-728693.58662672807</v>
      </c>
      <c r="M95" s="1162">
        <f t="shared" si="34"/>
        <v>-667814.73111220426</v>
      </c>
      <c r="N95" s="1162">
        <f t="shared" si="34"/>
        <v>-602167.48027915158</v>
      </c>
      <c r="O95" s="1162">
        <f t="shared" si="34"/>
        <v>-663687.92072970408</v>
      </c>
      <c r="P95" s="1162">
        <f t="shared" si="34"/>
        <v>-591034.37383124873</v>
      </c>
      <c r="Q95" s="1162">
        <f t="shared" si="34"/>
        <v>-513121.56919351465</v>
      </c>
      <c r="R95" s="1162">
        <f t="shared" si="34"/>
        <v>-429764.45899521559</v>
      </c>
      <c r="S95" s="1162">
        <f t="shared" si="34"/>
        <v>-346015.25282821094</v>
      </c>
      <c r="T95" s="1162">
        <f t="shared" si="34"/>
        <v>-249676.50969827326</v>
      </c>
      <c r="U95" s="1162">
        <f t="shared" si="34"/>
        <v>-703400.22605415306</v>
      </c>
      <c r="V95" s="1162">
        <f t="shared" si="34"/>
        <v>-432068.20124982967</v>
      </c>
      <c r="W95" s="1162">
        <f t="shared" si="34"/>
        <v>-317761.20644831267</v>
      </c>
      <c r="X95" s="1163">
        <f t="shared" si="34"/>
        <v>-202972.40957457572</v>
      </c>
      <c r="Y95" s="1162">
        <f>SUM(D95:X95)</f>
        <v>-10338177.395322476</v>
      </c>
      <c r="Z95" s="1064"/>
      <c r="AA95" s="1064"/>
      <c r="AB95" s="1064"/>
      <c r="AC95" s="1064"/>
      <c r="AD95" s="1064"/>
      <c r="AE95" s="1064"/>
      <c r="AF95" s="1064"/>
      <c r="AG95" s="1146"/>
      <c r="AH95" s="1064"/>
      <c r="AI95" s="1064"/>
      <c r="AJ95" s="1064"/>
    </row>
    <row r="96" spans="1:46" s="1066" customFormat="1" ht="20.100000000000001" customHeight="1" thickBot="1" x14ac:dyDescent="0.4">
      <c r="A96" s="1064"/>
      <c r="B96" s="1158" t="s">
        <v>5</v>
      </c>
      <c r="C96" s="1167" t="s">
        <v>734</v>
      </c>
      <c r="D96" s="1168">
        <f>SUM(D94:D95)</f>
        <v>1186968.8864269305</v>
      </c>
      <c r="E96" s="1169">
        <f t="shared" ref="E96:X96" si="35">SUM(E94:E95)</f>
        <v>1202096.4345781975</v>
      </c>
      <c r="F96" s="1169">
        <f t="shared" si="35"/>
        <v>823573.72330546938</v>
      </c>
      <c r="G96" s="1169">
        <f t="shared" si="35"/>
        <v>927750.5598762749</v>
      </c>
      <c r="H96" s="1169">
        <f t="shared" si="35"/>
        <v>1037432.3554951858</v>
      </c>
      <c r="I96" s="1169">
        <f t="shared" si="35"/>
        <v>1341751.0592797655</v>
      </c>
      <c r="J96" s="1169">
        <f t="shared" si="35"/>
        <v>571983.89134018309</v>
      </c>
      <c r="K96" s="1169">
        <f t="shared" si="35"/>
        <v>694520.86294467002</v>
      </c>
      <c r="L96" s="1169">
        <f t="shared" si="35"/>
        <v>812789.82175559853</v>
      </c>
      <c r="M96" s="1169">
        <f t="shared" si="35"/>
        <v>937380.74324572762</v>
      </c>
      <c r="N96" s="1169">
        <f t="shared" si="35"/>
        <v>1068489.093774325</v>
      </c>
      <c r="O96" s="1169">
        <f t="shared" si="35"/>
        <v>158376.8233235199</v>
      </c>
      <c r="P96" s="1169">
        <f t="shared" si="35"/>
        <v>279197.47057432379</v>
      </c>
      <c r="Q96" s="1169">
        <f t="shared" si="35"/>
        <v>406882.4183110015</v>
      </c>
      <c r="R96" s="1169">
        <f t="shared" si="35"/>
        <v>798239.85860588821</v>
      </c>
      <c r="S96" s="1169">
        <f t="shared" si="35"/>
        <v>961054.12079504144</v>
      </c>
      <c r="T96" s="1169">
        <f t="shared" si="35"/>
        <v>1119062.5768406242</v>
      </c>
      <c r="U96" s="1169">
        <f t="shared" si="35"/>
        <v>728833.14226045448</v>
      </c>
      <c r="V96" s="1169">
        <f t="shared" si="35"/>
        <v>-802706.56917527562</v>
      </c>
      <c r="W96" s="1169">
        <f t="shared" si="35"/>
        <v>-655442.62932596519</v>
      </c>
      <c r="X96" s="1170">
        <f t="shared" si="35"/>
        <v>-511596.76861273893</v>
      </c>
      <c r="Y96" s="1162">
        <f>SUM(D96:X96)</f>
        <v>13086637.875619203</v>
      </c>
      <c r="Z96" s="1064"/>
      <c r="AA96" s="1064"/>
      <c r="AB96" s="1064"/>
      <c r="AC96" s="1064"/>
      <c r="AD96" s="1064"/>
      <c r="AE96" s="1064"/>
      <c r="AF96" s="1064"/>
      <c r="AG96" s="1146"/>
      <c r="AH96" s="1064"/>
      <c r="AI96" s="1064"/>
      <c r="AJ96" s="1064"/>
    </row>
    <row r="97" spans="1:36" s="1064" customFormat="1" ht="20.100000000000001" customHeight="1" x14ac:dyDescent="0.2">
      <c r="B97" s="995" t="s">
        <v>313</v>
      </c>
      <c r="C97" s="1095"/>
      <c r="D97" s="1146"/>
      <c r="E97" s="1146"/>
      <c r="F97" s="1146"/>
      <c r="G97" s="1146"/>
      <c r="H97" s="1146"/>
      <c r="I97" s="1146"/>
      <c r="J97" s="1146"/>
      <c r="K97" s="1146"/>
      <c r="L97" s="1146"/>
      <c r="M97" s="1146"/>
      <c r="N97" s="1146"/>
      <c r="O97" s="1146"/>
      <c r="P97" s="1146"/>
      <c r="Q97" s="1146"/>
      <c r="R97" s="1146"/>
      <c r="S97" s="1146"/>
      <c r="T97" s="1146"/>
      <c r="U97" s="1146"/>
      <c r="V97" s="1146"/>
      <c r="W97" s="1146"/>
      <c r="X97" s="1146"/>
      <c r="AG97" s="1146"/>
    </row>
    <row r="98" spans="1:36" s="1064" customFormat="1" ht="20.100000000000001" customHeight="1" thickBot="1" x14ac:dyDescent="0.25">
      <c r="B98" s="1136"/>
      <c r="C98" s="1095" t="s">
        <v>494</v>
      </c>
      <c r="D98" s="1146">
        <f>D91-D96</f>
        <v>0</v>
      </c>
      <c r="E98" s="1146">
        <f t="shared" ref="E98:X98" si="36">E91-E96</f>
        <v>0</v>
      </c>
      <c r="F98" s="1146">
        <f t="shared" si="36"/>
        <v>1.1641532182693481E-9</v>
      </c>
      <c r="G98" s="1146">
        <f t="shared" si="36"/>
        <v>-3.8417056202888489E-9</v>
      </c>
      <c r="H98" s="1146">
        <f t="shared" si="36"/>
        <v>0</v>
      </c>
      <c r="I98" s="1146">
        <f t="shared" si="36"/>
        <v>0</v>
      </c>
      <c r="J98" s="1146">
        <f t="shared" si="36"/>
        <v>-2.0954757928848267E-9</v>
      </c>
      <c r="K98" s="1146">
        <f t="shared" si="36"/>
        <v>0</v>
      </c>
      <c r="L98" s="1146">
        <f t="shared" si="36"/>
        <v>-2.5611370801925659E-9</v>
      </c>
      <c r="M98" s="1146">
        <f t="shared" si="36"/>
        <v>1.6298145055770874E-9</v>
      </c>
      <c r="N98" s="1146">
        <f t="shared" si="36"/>
        <v>0</v>
      </c>
      <c r="O98" s="1146">
        <f t="shared" si="36"/>
        <v>-1.3387762010097504E-9</v>
      </c>
      <c r="P98" s="1146">
        <f t="shared" si="36"/>
        <v>0</v>
      </c>
      <c r="Q98" s="1146">
        <f t="shared" si="36"/>
        <v>5.005858838558197E-9</v>
      </c>
      <c r="R98" s="1146">
        <f t="shared" si="36"/>
        <v>0</v>
      </c>
      <c r="S98" s="1146">
        <f t="shared" si="36"/>
        <v>1.1641532182693481E-9</v>
      </c>
      <c r="T98" s="1146">
        <f t="shared" si="36"/>
        <v>0</v>
      </c>
      <c r="U98" s="1146">
        <f t="shared" si="36"/>
        <v>-1.0477378964424133E-9</v>
      </c>
      <c r="V98" s="1146">
        <f t="shared" si="36"/>
        <v>0</v>
      </c>
      <c r="W98" s="1146">
        <f t="shared" si="36"/>
        <v>2.0954757928848267E-9</v>
      </c>
      <c r="X98" s="1146">
        <f t="shared" si="36"/>
        <v>-1.0477378964424133E-9</v>
      </c>
      <c r="AG98" s="1146"/>
    </row>
    <row r="99" spans="1:36" s="1064" customFormat="1" ht="20.100000000000001" customHeight="1" thickBot="1" x14ac:dyDescent="0.3">
      <c r="B99" s="1158" t="s">
        <v>583</v>
      </c>
      <c r="C99" s="1197" t="s">
        <v>117</v>
      </c>
      <c r="D99" s="712">
        <v>2023</v>
      </c>
      <c r="E99" s="417">
        <f>D99+1</f>
        <v>2024</v>
      </c>
      <c r="F99" s="417">
        <f t="shared" ref="F99:X99" si="37">E99+1</f>
        <v>2025</v>
      </c>
      <c r="G99" s="417">
        <f t="shared" si="37"/>
        <v>2026</v>
      </c>
      <c r="H99" s="417">
        <f t="shared" si="37"/>
        <v>2027</v>
      </c>
      <c r="I99" s="417">
        <f t="shared" si="37"/>
        <v>2028</v>
      </c>
      <c r="J99" s="417">
        <f t="shared" si="37"/>
        <v>2029</v>
      </c>
      <c r="K99" s="417">
        <f t="shared" si="37"/>
        <v>2030</v>
      </c>
      <c r="L99" s="417">
        <f t="shared" si="37"/>
        <v>2031</v>
      </c>
      <c r="M99" s="417">
        <f t="shared" si="37"/>
        <v>2032</v>
      </c>
      <c r="N99" s="417">
        <f t="shared" si="37"/>
        <v>2033</v>
      </c>
      <c r="O99" s="417">
        <f t="shared" si="37"/>
        <v>2034</v>
      </c>
      <c r="P99" s="417">
        <f t="shared" si="37"/>
        <v>2035</v>
      </c>
      <c r="Q99" s="417">
        <f t="shared" si="37"/>
        <v>2036</v>
      </c>
      <c r="R99" s="417">
        <f t="shared" si="37"/>
        <v>2037</v>
      </c>
      <c r="S99" s="417">
        <f t="shared" si="37"/>
        <v>2038</v>
      </c>
      <c r="T99" s="417">
        <f t="shared" si="37"/>
        <v>2039</v>
      </c>
      <c r="U99" s="417">
        <f t="shared" si="37"/>
        <v>2040</v>
      </c>
      <c r="V99" s="417">
        <f t="shared" si="37"/>
        <v>2041</v>
      </c>
      <c r="W99" s="417">
        <f t="shared" si="37"/>
        <v>2042</v>
      </c>
      <c r="X99" s="713">
        <f t="shared" si="37"/>
        <v>2043</v>
      </c>
      <c r="AG99" s="1146"/>
    </row>
    <row r="100" spans="1:36" s="1064" customFormat="1" ht="20.100000000000001" customHeight="1" thickBot="1" x14ac:dyDescent="0.4">
      <c r="B100" s="1158" t="s">
        <v>5</v>
      </c>
      <c r="C100" s="1167" t="s">
        <v>734</v>
      </c>
      <c r="D100" s="1418">
        <f t="shared" ref="D100:F100" si="38">SUM(D59:D62)*D83</f>
        <v>15903463.813783027</v>
      </c>
      <c r="E100" s="1418">
        <f t="shared" si="38"/>
        <v>16427282.049043505</v>
      </c>
      <c r="F100" s="1418">
        <f t="shared" si="38"/>
        <v>14039586.100062929</v>
      </c>
      <c r="G100" s="1418">
        <f>SUM(G59:G62)*G83</f>
        <v>14399815.94134156</v>
      </c>
      <c r="H100" s="1418">
        <f t="shared" ref="H100:X100" si="39">SUM(H59:H62)*H83</f>
        <v>14764152.462327138</v>
      </c>
      <c r="I100" s="1418">
        <f t="shared" si="39"/>
        <v>15132640.264242413</v>
      </c>
      <c r="J100" s="1418">
        <f t="shared" si="39"/>
        <v>16186481.480889905</v>
      </c>
      <c r="K100" s="1418">
        <f t="shared" si="39"/>
        <v>16881558.170727599</v>
      </c>
      <c r="L100" s="1418">
        <f t="shared" si="39"/>
        <v>17286894.023071099</v>
      </c>
      <c r="M100" s="1418">
        <f t="shared" si="39"/>
        <v>17696837.818365555</v>
      </c>
      <c r="N100" s="1418">
        <f t="shared" si="39"/>
        <v>18111439.17145801</v>
      </c>
      <c r="O100" s="1418">
        <f t="shared" si="39"/>
        <v>19578687.049654804</v>
      </c>
      <c r="P100" s="1418">
        <f t="shared" si="39"/>
        <v>20026684.811547115</v>
      </c>
      <c r="Q100" s="1418">
        <f t="shared" si="39"/>
        <v>20479764.099108059</v>
      </c>
      <c r="R100" s="1418">
        <f t="shared" si="39"/>
        <v>20937979.603316981</v>
      </c>
      <c r="S100" s="1418">
        <f t="shared" si="39"/>
        <v>21730638.670502391</v>
      </c>
      <c r="T100" s="1418">
        <f t="shared" si="39"/>
        <v>22201405.056983452</v>
      </c>
      <c r="U100" s="1418">
        <f t="shared" si="39"/>
        <v>23233630.853371374</v>
      </c>
      <c r="V100" s="1418">
        <f t="shared" si="39"/>
        <v>25595193.489219587</v>
      </c>
      <c r="W100" s="1418">
        <f t="shared" si="39"/>
        <v>25759945.873419195</v>
      </c>
      <c r="X100" s="1418">
        <f t="shared" si="39"/>
        <v>26301696.188731324</v>
      </c>
      <c r="AG100" s="1146"/>
    </row>
    <row r="101" spans="1:36" s="1066" customFormat="1" ht="15" customHeight="1" x14ac:dyDescent="0.25">
      <c r="A101" s="1064"/>
      <c r="G101" s="1064"/>
    </row>
    <row r="102" spans="1:36" s="1117" customFormat="1" ht="26.25" x14ac:dyDescent="0.25">
      <c r="A102" s="1114"/>
      <c r="B102" s="1116" t="s">
        <v>366</v>
      </c>
      <c r="C102" s="1116"/>
      <c r="D102" s="1116"/>
      <c r="E102" s="1116"/>
      <c r="F102" s="1116"/>
      <c r="G102" s="1116"/>
      <c r="H102" s="1116"/>
      <c r="I102" s="1116"/>
      <c r="J102" s="1116"/>
      <c r="K102" s="1116"/>
      <c r="L102" s="1116"/>
      <c r="M102" s="1116"/>
      <c r="N102" s="1116"/>
      <c r="O102" s="1116"/>
      <c r="P102" s="1116"/>
      <c r="Q102" s="1116"/>
      <c r="R102" s="1116"/>
      <c r="S102" s="1116"/>
      <c r="T102" s="1116"/>
      <c r="U102" s="1116"/>
      <c r="V102" s="1116"/>
      <c r="W102" s="1116"/>
      <c r="X102" s="1116"/>
    </row>
    <row r="103" spans="1:36" s="1117" customFormat="1" ht="21.75" customHeight="1" x14ac:dyDescent="0.25">
      <c r="A103" s="1114"/>
      <c r="B103" s="1119"/>
      <c r="C103" s="1119"/>
      <c r="D103" s="1119"/>
      <c r="E103" s="1119"/>
      <c r="F103" s="1119"/>
      <c r="G103" s="1119"/>
      <c r="H103" s="1119"/>
      <c r="I103" s="1119"/>
      <c r="J103" s="1119"/>
      <c r="K103" s="1120"/>
      <c r="L103" s="1121"/>
    </row>
    <row r="104" spans="1:36" s="1117" customFormat="1" ht="20.100000000000001" customHeight="1" thickBot="1" x14ac:dyDescent="0.3">
      <c r="A104" s="1114"/>
      <c r="B104" s="1119"/>
      <c r="C104" s="1119"/>
      <c r="D104" s="1842" t="s">
        <v>741</v>
      </c>
      <c r="E104" s="1842"/>
      <c r="F104" s="1842"/>
      <c r="G104" s="1842"/>
      <c r="H104" s="1842"/>
      <c r="I104" s="1842"/>
      <c r="J104" s="1842"/>
      <c r="K104" s="1842"/>
      <c r="L104" s="1842"/>
      <c r="M104" s="1842"/>
      <c r="N104" s="1842"/>
      <c r="O104" s="1842"/>
      <c r="P104" s="1842"/>
      <c r="Q104" s="1842"/>
      <c r="R104" s="1842"/>
      <c r="S104" s="1842"/>
      <c r="T104" s="1842"/>
      <c r="U104" s="1842"/>
      <c r="V104" s="1842"/>
      <c r="W104" s="1842"/>
      <c r="X104" s="1842"/>
      <c r="Y104" s="1123"/>
      <c r="Z104" s="1123"/>
      <c r="AA104" s="1123"/>
      <c r="AB104" s="1123"/>
      <c r="AC104" s="1123"/>
      <c r="AD104" s="1123"/>
      <c r="AE104" s="1123"/>
      <c r="AF104" s="1123"/>
      <c r="AG104" s="1114"/>
      <c r="AH104" s="1114"/>
      <c r="AI104" s="1114"/>
      <c r="AJ104" s="1114"/>
    </row>
    <row r="105" spans="1:36" s="1117" customFormat="1" ht="20.100000000000001" customHeight="1" thickBot="1" x14ac:dyDescent="0.3">
      <c r="A105" s="1114"/>
      <c r="B105" s="1119" t="s">
        <v>309</v>
      </c>
      <c r="C105" s="1210" t="s">
        <v>117</v>
      </c>
      <c r="D105" s="712">
        <v>2023</v>
      </c>
      <c r="E105" s="417">
        <f>D105+1</f>
        <v>2024</v>
      </c>
      <c r="F105" s="417">
        <f t="shared" ref="F105:X105" si="40">E105+1</f>
        <v>2025</v>
      </c>
      <c r="G105" s="417">
        <f t="shared" si="40"/>
        <v>2026</v>
      </c>
      <c r="H105" s="417">
        <f t="shared" si="40"/>
        <v>2027</v>
      </c>
      <c r="I105" s="417">
        <f t="shared" si="40"/>
        <v>2028</v>
      </c>
      <c r="J105" s="417">
        <f t="shared" si="40"/>
        <v>2029</v>
      </c>
      <c r="K105" s="417">
        <f t="shared" si="40"/>
        <v>2030</v>
      </c>
      <c r="L105" s="417">
        <f t="shared" si="40"/>
        <v>2031</v>
      </c>
      <c r="M105" s="417">
        <f t="shared" si="40"/>
        <v>2032</v>
      </c>
      <c r="N105" s="417">
        <f t="shared" si="40"/>
        <v>2033</v>
      </c>
      <c r="O105" s="417">
        <f t="shared" si="40"/>
        <v>2034</v>
      </c>
      <c r="P105" s="417">
        <f t="shared" si="40"/>
        <v>2035</v>
      </c>
      <c r="Q105" s="417">
        <f t="shared" si="40"/>
        <v>2036</v>
      </c>
      <c r="R105" s="417">
        <f t="shared" si="40"/>
        <v>2037</v>
      </c>
      <c r="S105" s="417">
        <f t="shared" si="40"/>
        <v>2038</v>
      </c>
      <c r="T105" s="417">
        <f t="shared" si="40"/>
        <v>2039</v>
      </c>
      <c r="U105" s="417">
        <f t="shared" si="40"/>
        <v>2040</v>
      </c>
      <c r="V105" s="417">
        <f t="shared" si="40"/>
        <v>2041</v>
      </c>
      <c r="W105" s="417">
        <f t="shared" si="40"/>
        <v>2042</v>
      </c>
      <c r="X105" s="713">
        <f t="shared" si="40"/>
        <v>2043</v>
      </c>
    </row>
    <row r="106" spans="1:36" s="1117" customFormat="1" ht="20.100000000000001" customHeight="1" x14ac:dyDescent="0.25">
      <c r="A106" s="1114"/>
      <c r="B106" s="1070" t="s">
        <v>394</v>
      </c>
      <c r="C106" s="1211" t="s">
        <v>62</v>
      </c>
      <c r="D106" s="1647">
        <f>VLOOKUP(MROUND(D24,5),'EmissRates MOVES2014'!$C$53:$H$68,4)</f>
        <v>0.28790382784681356</v>
      </c>
      <c r="E106" s="1218">
        <f>VLOOKUP(MROUND(E24,5),'EmissRates MOVES2014'!$C$53:$H$68,4)</f>
        <v>0.28790382784681356</v>
      </c>
      <c r="F106" s="1218">
        <f>VLOOKUP(MROUND(F24,5),'EmissRates MOVES2014'!$Z$53:$AE$68,4)</f>
        <v>3.3058490260470114E-2</v>
      </c>
      <c r="G106" s="1218">
        <f>VLOOKUP(MROUND(G24,5),'EmissRates MOVES2014'!$Z$53:$AE$68,4)</f>
        <v>3.3058490260470114E-2</v>
      </c>
      <c r="H106" s="1218">
        <f>VLOOKUP(MROUND(H24,5),'EmissRates MOVES2014'!$Z$53:$AE$68,4)</f>
        <v>3.3058490260470114E-2</v>
      </c>
      <c r="I106" s="1218">
        <f>VLOOKUP(MROUND(I24,5),'EmissRates MOVES2014'!$Z$53:$AE$68,4)</f>
        <v>3.3058490260470114E-2</v>
      </c>
      <c r="J106" s="1218">
        <f>VLOOKUP(MROUND(J24,5),'EmissRates MOVES2014'!$Z$53:$AE$68,4)</f>
        <v>3.4129392959087949E-2</v>
      </c>
      <c r="K106" s="1218">
        <f>VLOOKUP(MROUND(K24,5),'EmissRates MOVES2014'!$Z$53:$AE$68,4)</f>
        <v>3.4129392959087949E-2</v>
      </c>
      <c r="L106" s="1218">
        <f>VLOOKUP(MROUND(L24,5),'EmissRates MOVES2014'!$Z$53:$AE$68,4)</f>
        <v>3.4129392959087949E-2</v>
      </c>
      <c r="M106" s="1218">
        <f>VLOOKUP(MROUND(M24,5),'EmissRates MOVES2014'!$Z$53:$AE$68,4)</f>
        <v>3.4129392959087949E-2</v>
      </c>
      <c r="N106" s="1218">
        <f>VLOOKUP(MROUND(N24,5),'EmissRates MOVES2014'!$Z$53:$AE$68,4)</f>
        <v>3.4129392959087949E-2</v>
      </c>
      <c r="O106" s="1218">
        <f>VLOOKUP(MROUND(O24,5),'EmissRates MOVES2014'!$Z$53:$AE$68,4)</f>
        <v>3.7605872800469481E-2</v>
      </c>
      <c r="P106" s="1218">
        <f>VLOOKUP(MROUND(P24,5),'EmissRates MOVES2014'!$Z$53:$AE$68,4)</f>
        <v>3.7605872800469481E-2</v>
      </c>
      <c r="Q106" s="1218">
        <f>VLOOKUP(MROUND(Q24,5),'EmissRates MOVES2014'!$Z$53:$AE$68,4)</f>
        <v>3.7605872800469481E-2</v>
      </c>
      <c r="R106" s="1218">
        <f>VLOOKUP(MROUND(R24,5),'EmissRates MOVES2014'!$Z$53:$AE$68,4)</f>
        <v>3.7605872800469481E-2</v>
      </c>
      <c r="S106" s="1218">
        <f>VLOOKUP(MROUND(S24,5),'EmissRates MOVES2014'!$Z$53:$AE$68,4)</f>
        <v>3.7605872800469481E-2</v>
      </c>
      <c r="T106" s="1218">
        <f>VLOOKUP(MROUND(T24,5),'EmissRates MOVES2014'!$Z$53:$AE$68,4)</f>
        <v>3.7605872800469481E-2</v>
      </c>
      <c r="U106" s="1218">
        <f>VLOOKUP(MROUND(U24,5),'EmissRates MOVES2014'!$Z$53:$AE$68,4)</f>
        <v>3.7605872800469481E-2</v>
      </c>
      <c r="V106" s="1218">
        <f>VLOOKUP(MROUND(V24,5),'EmissRates MOVES2014'!$Z$53:$AE$68,4)</f>
        <v>4.3967427314651641E-2</v>
      </c>
      <c r="W106" s="1218">
        <f>VLOOKUP(MROUND(W24,5),'EmissRates MOVES2014'!$Z$53:$AE$68,4)</f>
        <v>4.3967427314651641E-2</v>
      </c>
      <c r="X106" s="1219">
        <f>VLOOKUP(MROUND(X24,5),'EmissRates MOVES2014'!$Z$53:$AE$68,4)</f>
        <v>4.3967427314651641E-2</v>
      </c>
    </row>
    <row r="107" spans="1:36" s="1117" customFormat="1" ht="20.100000000000001" customHeight="1" x14ac:dyDescent="0.25">
      <c r="A107" s="1114"/>
      <c r="B107" s="1076" t="s">
        <v>395</v>
      </c>
      <c r="C107" s="1211" t="s">
        <v>62</v>
      </c>
      <c r="D107" s="1648">
        <f>VLOOKUP(MROUND(D25,5),'EmissRates MOVES2014'!$C$53:$H$68,4)</f>
        <v>0.28790382784681356</v>
      </c>
      <c r="E107" s="1212">
        <f>VLOOKUP(MROUND(E25,5),'EmissRates MOVES2014'!$C$53:$H$68,4)</f>
        <v>0.28790382784681356</v>
      </c>
      <c r="F107" s="1212">
        <f>VLOOKUP(MROUND(F25,5),'EmissRates MOVES2014'!$Z$53:$AE$68,4)</f>
        <v>3.3058490260470114E-2</v>
      </c>
      <c r="G107" s="1212">
        <f>VLOOKUP(MROUND(G25,5),'EmissRates MOVES2014'!$Z$53:$AE$68,4)</f>
        <v>3.3058490260470114E-2</v>
      </c>
      <c r="H107" s="1212">
        <f>VLOOKUP(MROUND(H25,5),'EmissRates MOVES2014'!$Z$53:$AE$68,4)</f>
        <v>3.3058490260470114E-2</v>
      </c>
      <c r="I107" s="1212">
        <f>VLOOKUP(MROUND(I25,5),'EmissRates MOVES2014'!$Z$53:$AE$68,4)</f>
        <v>3.3058490260470114E-2</v>
      </c>
      <c r="J107" s="1212">
        <f>VLOOKUP(MROUND(J25,5),'EmissRates MOVES2014'!$Z$53:$AE$68,4)</f>
        <v>3.4129392959087949E-2</v>
      </c>
      <c r="K107" s="1212">
        <f>VLOOKUP(MROUND(K25,5),'EmissRates MOVES2014'!$Z$53:$AE$68,4)</f>
        <v>3.4129392959087949E-2</v>
      </c>
      <c r="L107" s="1212">
        <f>VLOOKUP(MROUND(L25,5),'EmissRates MOVES2014'!$Z$53:$AE$68,4)</f>
        <v>3.4129392959087949E-2</v>
      </c>
      <c r="M107" s="1212">
        <f>VLOOKUP(MROUND(M25,5),'EmissRates MOVES2014'!$Z$53:$AE$68,4)</f>
        <v>3.4129392959087949E-2</v>
      </c>
      <c r="N107" s="1212">
        <f>VLOOKUP(MROUND(N25,5),'EmissRates MOVES2014'!$Z$53:$AE$68,4)</f>
        <v>3.4129392959087949E-2</v>
      </c>
      <c r="O107" s="1212">
        <f>VLOOKUP(MROUND(O25,5),'EmissRates MOVES2014'!$Z$53:$AE$68,4)</f>
        <v>3.7605872800469481E-2</v>
      </c>
      <c r="P107" s="1212">
        <f>VLOOKUP(MROUND(P25,5),'EmissRates MOVES2014'!$Z$53:$AE$68,4)</f>
        <v>3.7605872800469481E-2</v>
      </c>
      <c r="Q107" s="1212">
        <f>VLOOKUP(MROUND(Q25,5),'EmissRates MOVES2014'!$Z$53:$AE$68,4)</f>
        <v>3.7605872800469481E-2</v>
      </c>
      <c r="R107" s="1212">
        <f>VLOOKUP(MROUND(R25,5),'EmissRates MOVES2014'!$Z$53:$AE$68,4)</f>
        <v>3.7605872800469481E-2</v>
      </c>
      <c r="S107" s="1212">
        <f>VLOOKUP(MROUND(S25,5),'EmissRates MOVES2014'!$Z$53:$AE$68,4)</f>
        <v>3.7605872800469481E-2</v>
      </c>
      <c r="T107" s="1212">
        <f>VLOOKUP(MROUND(T25,5),'EmissRates MOVES2014'!$Z$53:$AE$68,4)</f>
        <v>3.7605872800469481E-2</v>
      </c>
      <c r="U107" s="1212">
        <f>VLOOKUP(MROUND(U25,5),'EmissRates MOVES2014'!$Z$53:$AE$68,4)</f>
        <v>3.7605872800469481E-2</v>
      </c>
      <c r="V107" s="1212">
        <f>VLOOKUP(MROUND(V25,5),'EmissRates MOVES2014'!$Z$53:$AE$68,4)</f>
        <v>4.3967427314651641E-2</v>
      </c>
      <c r="W107" s="1212">
        <f>VLOOKUP(MROUND(W25,5),'EmissRates MOVES2014'!$Z$53:$AE$68,4)</f>
        <v>4.3967427314651641E-2</v>
      </c>
      <c r="X107" s="1213">
        <f>VLOOKUP(MROUND(X25,5),'EmissRates MOVES2014'!$Z$53:$AE$68,4)</f>
        <v>4.3967427314651641E-2</v>
      </c>
    </row>
    <row r="108" spans="1:36" s="1117" customFormat="1" ht="20.100000000000001" customHeight="1" x14ac:dyDescent="0.25">
      <c r="A108" s="1114"/>
      <c r="B108" s="1076" t="s">
        <v>396</v>
      </c>
      <c r="C108" s="1211" t="s">
        <v>62</v>
      </c>
      <c r="D108" s="1648">
        <f>VLOOKUP(MROUND(D26,5),'EmissRates MOVES2014'!$C$53:$H$68,4)</f>
        <v>0.28790382784681356</v>
      </c>
      <c r="E108" s="1212">
        <f>VLOOKUP(MROUND(E26,5),'EmissRates MOVES2014'!$C$53:$H$68,4)</f>
        <v>0.28790382784681356</v>
      </c>
      <c r="F108" s="1212">
        <f>VLOOKUP(MROUND(F26,5),'EmissRates MOVES2014'!$Z$53:$AE$68,4)</f>
        <v>3.3058490260470114E-2</v>
      </c>
      <c r="G108" s="1212">
        <f>VLOOKUP(MROUND(G26,5),'EmissRates MOVES2014'!$Z$53:$AE$68,4)</f>
        <v>3.3058490260470114E-2</v>
      </c>
      <c r="H108" s="1212">
        <f>VLOOKUP(MROUND(H26,5),'EmissRates MOVES2014'!$Z$53:$AE$68,4)</f>
        <v>3.3058490260470114E-2</v>
      </c>
      <c r="I108" s="1212">
        <f>VLOOKUP(MROUND(I26,5),'EmissRates MOVES2014'!$Z$53:$AE$68,4)</f>
        <v>3.3058490260470114E-2</v>
      </c>
      <c r="J108" s="1212">
        <f>VLOOKUP(MROUND(J26,5),'EmissRates MOVES2014'!$Z$53:$AE$68,4)</f>
        <v>3.4129392959087949E-2</v>
      </c>
      <c r="K108" s="1212">
        <f>VLOOKUP(MROUND(K26,5),'EmissRates MOVES2014'!$Z$53:$AE$68,4)</f>
        <v>3.4129392959087949E-2</v>
      </c>
      <c r="L108" s="1212">
        <f>VLOOKUP(MROUND(L26,5),'EmissRates MOVES2014'!$Z$53:$AE$68,4)</f>
        <v>3.4129392959087949E-2</v>
      </c>
      <c r="M108" s="1212">
        <f>VLOOKUP(MROUND(M26,5),'EmissRates MOVES2014'!$Z$53:$AE$68,4)</f>
        <v>3.4129392959087949E-2</v>
      </c>
      <c r="N108" s="1212">
        <f>VLOOKUP(MROUND(N26,5),'EmissRates MOVES2014'!$Z$53:$AE$68,4)</f>
        <v>3.4129392959087949E-2</v>
      </c>
      <c r="O108" s="1212">
        <f>VLOOKUP(MROUND(O26,5),'EmissRates MOVES2014'!$Z$53:$AE$68,4)</f>
        <v>3.7605872800469481E-2</v>
      </c>
      <c r="P108" s="1212">
        <f>VLOOKUP(MROUND(P26,5),'EmissRates MOVES2014'!$Z$53:$AE$68,4)</f>
        <v>3.7605872800469481E-2</v>
      </c>
      <c r="Q108" s="1212">
        <f>VLOOKUP(MROUND(Q26,5),'EmissRates MOVES2014'!$Z$53:$AE$68,4)</f>
        <v>3.7605872800469481E-2</v>
      </c>
      <c r="R108" s="1212">
        <f>VLOOKUP(MROUND(R26,5),'EmissRates MOVES2014'!$Z$53:$AE$68,4)</f>
        <v>3.7605872800469481E-2</v>
      </c>
      <c r="S108" s="1212">
        <f>VLOOKUP(MROUND(S26,5),'EmissRates MOVES2014'!$Z$53:$AE$68,4)</f>
        <v>3.7605872800469481E-2</v>
      </c>
      <c r="T108" s="1212">
        <f>VLOOKUP(MROUND(T26,5),'EmissRates MOVES2014'!$Z$53:$AE$68,4)</f>
        <v>3.7605872800469481E-2</v>
      </c>
      <c r="U108" s="1212">
        <f>VLOOKUP(MROUND(U26,5),'EmissRates MOVES2014'!$Z$53:$AE$68,4)</f>
        <v>3.7605872800469481E-2</v>
      </c>
      <c r="V108" s="1212">
        <f>VLOOKUP(MROUND(V26,5),'EmissRates MOVES2014'!$Z$53:$AE$68,4)</f>
        <v>4.3967427314651641E-2</v>
      </c>
      <c r="W108" s="1212">
        <f>VLOOKUP(MROUND(W26,5),'EmissRates MOVES2014'!$Z$53:$AE$68,4)</f>
        <v>4.3967427314651641E-2</v>
      </c>
      <c r="X108" s="1213">
        <f>VLOOKUP(MROUND(X26,5),'EmissRates MOVES2014'!$Z$53:$AE$68,4)</f>
        <v>4.3967427314651641E-2</v>
      </c>
    </row>
    <row r="109" spans="1:36" s="1117" customFormat="1" ht="20.100000000000001" customHeight="1" thickBot="1" x14ac:dyDescent="0.3">
      <c r="A109" s="1114"/>
      <c r="B109" s="1070" t="s">
        <v>140</v>
      </c>
      <c r="C109" s="1214" t="s">
        <v>62</v>
      </c>
      <c r="D109" s="1649">
        <f>VLOOKUP(MROUND(D27,5),'EmissRates MOVES2014'!$C$53:$U$68,19)</f>
        <v>0.38281989681949835</v>
      </c>
      <c r="E109" s="1215">
        <f>VLOOKUP(MROUND(E27,5),'EmissRates MOVES2014'!$C$53:$U$68,19)</f>
        <v>0.41662174764334847</v>
      </c>
      <c r="F109" s="1215">
        <f>VLOOKUP(MROUND(F27,5),'EmissRates MOVES2014'!$Z$53:$AR$68,19)</f>
        <v>4.238472491627622E-2</v>
      </c>
      <c r="G109" s="1215">
        <f>VLOOKUP(MROUND(G27,5),'EmissRates MOVES2014'!$Z$53:$AR$68,19)</f>
        <v>4.238472491627622E-2</v>
      </c>
      <c r="H109" s="1215">
        <f>VLOOKUP(MROUND(H27,5),'EmissRates MOVES2014'!$Z$53:$AR$68,19)</f>
        <v>4.238472491627622E-2</v>
      </c>
      <c r="I109" s="1215">
        <f>VLOOKUP(MROUND(I27,5),'EmissRates MOVES2014'!$Z$53:$AR$68,19)</f>
        <v>4.238472491627622E-2</v>
      </c>
      <c r="J109" s="1215">
        <f>VLOOKUP(MROUND(J27,5),'EmissRates MOVES2014'!$Z$53:$AR$68,19)</f>
        <v>4.8451938754857898E-2</v>
      </c>
      <c r="K109" s="1215">
        <f>VLOOKUP(MROUND(K27,5),'EmissRates MOVES2014'!$Z$53:$AR$68,19)</f>
        <v>4.8451938754857898E-2</v>
      </c>
      <c r="L109" s="1215">
        <f>VLOOKUP(MROUND(L27,5),'EmissRates MOVES2014'!$Z$53:$AR$68,19)</f>
        <v>4.8451938754857898E-2</v>
      </c>
      <c r="M109" s="1215">
        <f>VLOOKUP(MROUND(M27,5),'EmissRates MOVES2014'!$Z$53:$AR$68,19)</f>
        <v>4.8451938754857898E-2</v>
      </c>
      <c r="N109" s="1215">
        <f>VLOOKUP(MROUND(N27,5),'EmissRates MOVES2014'!$Z$53:$AR$68,19)</f>
        <v>4.8451938754857898E-2</v>
      </c>
      <c r="O109" s="1215">
        <f>VLOOKUP(MROUND(O27,5),'EmissRates MOVES2014'!$Z$53:$AR$68,19)</f>
        <v>5.347298416709851E-2</v>
      </c>
      <c r="P109" s="1215">
        <f>VLOOKUP(MROUND(P27,5),'EmissRates MOVES2014'!$Z$53:$AR$68,19)</f>
        <v>5.347298416709851E-2</v>
      </c>
      <c r="Q109" s="1215">
        <f>VLOOKUP(MROUND(Q27,5),'EmissRates MOVES2014'!$Z$53:$AR$68,19)</f>
        <v>5.347298416709851E-2</v>
      </c>
      <c r="R109" s="1215">
        <f>VLOOKUP(MROUND(R27,5),'EmissRates MOVES2014'!$Z$53:$AR$68,19)</f>
        <v>5.347298416709851E-2</v>
      </c>
      <c r="S109" s="1215">
        <f>VLOOKUP(MROUND(S27,5),'EmissRates MOVES2014'!$Z$53:$AR$68,19)</f>
        <v>5.347298416709851E-2</v>
      </c>
      <c r="T109" s="1215">
        <f>VLOOKUP(MROUND(T27,5),'EmissRates MOVES2014'!$Z$53:$AR$68,19)</f>
        <v>5.347298416709851E-2</v>
      </c>
      <c r="U109" s="1215">
        <f>VLOOKUP(MROUND(U27,5),'EmissRates MOVES2014'!$Z$53:$AR$68,19)</f>
        <v>6.1198794215419988E-2</v>
      </c>
      <c r="V109" s="1215">
        <f>VLOOKUP(MROUND(V27,5),'EmissRates MOVES2014'!$Z$53:$AR$68,19)</f>
        <v>6.1198794215419988E-2</v>
      </c>
      <c r="W109" s="1215">
        <f>VLOOKUP(MROUND(W27,5),'EmissRates MOVES2014'!$Z$53:$AR$68,19)</f>
        <v>6.1198794215419988E-2</v>
      </c>
      <c r="X109" s="1650">
        <f>VLOOKUP(MROUND(X27,5),'EmissRates MOVES2014'!$Z$53:$AR$68,19)</f>
        <v>6.1198794215419988E-2</v>
      </c>
    </row>
    <row r="110" spans="1:36" s="1117" customFormat="1" ht="20.100000000000001" customHeight="1" x14ac:dyDescent="0.25">
      <c r="A110" s="1114"/>
      <c r="D110" s="1128"/>
      <c r="E110" s="1128"/>
      <c r="F110" s="1128"/>
      <c r="H110" s="1128"/>
      <c r="I110" s="1128"/>
      <c r="J110" s="1128"/>
    </row>
    <row r="111" spans="1:36" s="1117" customFormat="1" ht="20.100000000000001" customHeight="1" thickBot="1" x14ac:dyDescent="0.3">
      <c r="A111" s="1114"/>
      <c r="C111" s="1216"/>
      <c r="D111" s="1842" t="s">
        <v>742</v>
      </c>
      <c r="E111" s="1842"/>
      <c r="F111" s="1842"/>
      <c r="G111" s="1842"/>
      <c r="H111" s="1842"/>
      <c r="I111" s="1842"/>
      <c r="J111" s="1842"/>
      <c r="K111" s="1842"/>
      <c r="L111" s="1842"/>
      <c r="M111" s="1842"/>
      <c r="N111" s="1842"/>
      <c r="O111" s="1842"/>
      <c r="P111" s="1842"/>
      <c r="Q111" s="1842"/>
      <c r="R111" s="1842"/>
      <c r="S111" s="1842"/>
      <c r="T111" s="1842"/>
      <c r="U111" s="1842"/>
      <c r="V111" s="1842"/>
      <c r="W111" s="1842"/>
      <c r="X111" s="1842"/>
      <c r="Y111" s="1130"/>
      <c r="Z111" s="1130"/>
      <c r="AA111" s="1130"/>
      <c r="AB111" s="1130"/>
      <c r="AC111" s="1130"/>
      <c r="AD111" s="1130"/>
      <c r="AE111" s="1130"/>
      <c r="AF111" s="1130"/>
      <c r="AG111" s="1114"/>
      <c r="AH111" s="1114"/>
      <c r="AI111" s="1114"/>
      <c r="AJ111" s="1114"/>
    </row>
    <row r="112" spans="1:36" s="1117" customFormat="1" ht="20.100000000000001" customHeight="1" thickBot="1" x14ac:dyDescent="0.3">
      <c r="A112" s="1114"/>
      <c r="B112" s="1119" t="s">
        <v>309</v>
      </c>
      <c r="C112" s="1210" t="s">
        <v>117</v>
      </c>
      <c r="D112" s="719">
        <v>2023</v>
      </c>
      <c r="E112" s="717">
        <f>D112+1</f>
        <v>2024</v>
      </c>
      <c r="F112" s="717">
        <f t="shared" ref="F112:X112" si="41">E112+1</f>
        <v>2025</v>
      </c>
      <c r="G112" s="717">
        <f t="shared" si="41"/>
        <v>2026</v>
      </c>
      <c r="H112" s="717">
        <f t="shared" si="41"/>
        <v>2027</v>
      </c>
      <c r="I112" s="717">
        <f t="shared" si="41"/>
        <v>2028</v>
      </c>
      <c r="J112" s="717">
        <f t="shared" si="41"/>
        <v>2029</v>
      </c>
      <c r="K112" s="717">
        <f t="shared" si="41"/>
        <v>2030</v>
      </c>
      <c r="L112" s="717">
        <f t="shared" si="41"/>
        <v>2031</v>
      </c>
      <c r="M112" s="717">
        <f t="shared" si="41"/>
        <v>2032</v>
      </c>
      <c r="N112" s="717">
        <f t="shared" si="41"/>
        <v>2033</v>
      </c>
      <c r="O112" s="717">
        <f t="shared" si="41"/>
        <v>2034</v>
      </c>
      <c r="P112" s="717">
        <f t="shared" si="41"/>
        <v>2035</v>
      </c>
      <c r="Q112" s="717">
        <f t="shared" si="41"/>
        <v>2036</v>
      </c>
      <c r="R112" s="717">
        <f t="shared" si="41"/>
        <v>2037</v>
      </c>
      <c r="S112" s="717">
        <f t="shared" si="41"/>
        <v>2038</v>
      </c>
      <c r="T112" s="717">
        <f t="shared" si="41"/>
        <v>2039</v>
      </c>
      <c r="U112" s="717">
        <f t="shared" si="41"/>
        <v>2040</v>
      </c>
      <c r="V112" s="717">
        <f t="shared" si="41"/>
        <v>2041</v>
      </c>
      <c r="W112" s="717">
        <f t="shared" si="41"/>
        <v>2042</v>
      </c>
      <c r="X112" s="718">
        <f t="shared" si="41"/>
        <v>2043</v>
      </c>
    </row>
    <row r="113" spans="1:33" s="1117" customFormat="1" ht="20.100000000000001" customHeight="1" x14ac:dyDescent="0.25">
      <c r="A113" s="1114"/>
      <c r="B113" s="1070" t="s">
        <v>394</v>
      </c>
      <c r="C113" s="1217" t="s">
        <v>62</v>
      </c>
      <c r="D113" s="1647">
        <f>VLOOKUP(MROUND(D31,5),'EmissRates MOVES2014'!$C$53:$H$68,4)</f>
        <v>0.27585590849864899</v>
      </c>
      <c r="E113" s="1218">
        <f>VLOOKUP(MROUND(E31,5),'EmissRates MOVES2014'!$C$53:$H$68,4)</f>
        <v>0.27585590849864899</v>
      </c>
      <c r="F113" s="1218">
        <f>VLOOKUP(MROUND(F31,5),'EmissRates MOVES2014'!$Z$53:$AE$68,4)</f>
        <v>3.1287524654783606E-2</v>
      </c>
      <c r="G113" s="1218">
        <f>VLOOKUP(MROUND(G31,5),'EmissRates MOVES2014'!$Z$53:$AE$68,4)</f>
        <v>3.1287524654783606E-2</v>
      </c>
      <c r="H113" s="1218">
        <f>VLOOKUP(MROUND(H31,5),'EmissRates MOVES2014'!$Z$53:$AE$68,4)</f>
        <v>3.1287524654783606E-2</v>
      </c>
      <c r="I113" s="1218">
        <f>VLOOKUP(MROUND(I31,5),'EmissRates MOVES2014'!$Z$53:$AE$68,4)</f>
        <v>3.2134828358238041E-2</v>
      </c>
      <c r="J113" s="1218">
        <f>VLOOKUP(MROUND(J31,5),'EmissRates MOVES2014'!$Z$53:$AE$68,4)</f>
        <v>3.2134828358238041E-2</v>
      </c>
      <c r="K113" s="1218">
        <f>VLOOKUP(MROUND(K31,5),'EmissRates MOVES2014'!$Z$53:$AE$68,4)</f>
        <v>3.2134828358238041E-2</v>
      </c>
      <c r="L113" s="1218">
        <f>VLOOKUP(MROUND(L31,5),'EmissRates MOVES2014'!$Z$53:$AE$68,4)</f>
        <v>3.2134828358238041E-2</v>
      </c>
      <c r="M113" s="1218">
        <f>VLOOKUP(MROUND(M31,5),'EmissRates MOVES2014'!$Z$53:$AE$68,4)</f>
        <v>3.2134828358238041E-2</v>
      </c>
      <c r="N113" s="1218">
        <f>VLOOKUP(MROUND(N31,5),'EmissRates MOVES2014'!$Z$53:$AE$68,4)</f>
        <v>3.2134828358238041E-2</v>
      </c>
      <c r="O113" s="1218">
        <f>VLOOKUP(MROUND(O31,5),'EmissRates MOVES2014'!$Z$53:$AE$68,4)</f>
        <v>3.2134828358238041E-2</v>
      </c>
      <c r="P113" s="1218">
        <f>VLOOKUP(MROUND(P31,5),'EmissRates MOVES2014'!$Z$53:$AE$68,4)</f>
        <v>3.2134828358238041E-2</v>
      </c>
      <c r="Q113" s="1218">
        <f>VLOOKUP(MROUND(Q31,5),'EmissRates MOVES2014'!$Z$53:$AE$68,4)</f>
        <v>3.2134828358238041E-2</v>
      </c>
      <c r="R113" s="1218">
        <f>VLOOKUP(MROUND(R31,5),'EmissRates MOVES2014'!$Z$53:$AE$68,4)</f>
        <v>3.3058490260470114E-2</v>
      </c>
      <c r="S113" s="1218">
        <f>VLOOKUP(MROUND(S31,5),'EmissRates MOVES2014'!$Z$53:$AE$68,4)</f>
        <v>3.3058490260470114E-2</v>
      </c>
      <c r="T113" s="1218">
        <f>VLOOKUP(MROUND(T31,5),'EmissRates MOVES2014'!$Z$53:$AE$68,4)</f>
        <v>3.3058490260470114E-2</v>
      </c>
      <c r="U113" s="1218">
        <f>VLOOKUP(MROUND(U31,5),'EmissRates MOVES2014'!$Z$53:$AE$68,4)</f>
        <v>3.3058490260470114E-2</v>
      </c>
      <c r="V113" s="1218">
        <f>VLOOKUP(MROUND(V31,5),'EmissRates MOVES2014'!$Z$53:$AE$68,4)</f>
        <v>3.3058490260470114E-2</v>
      </c>
      <c r="W113" s="1218">
        <f>VLOOKUP(MROUND(W31,5),'EmissRates MOVES2014'!$Z$53:$AE$68,4)</f>
        <v>3.3058490260470114E-2</v>
      </c>
      <c r="X113" s="1219">
        <f>VLOOKUP(MROUND(X31,5),'EmissRates MOVES2014'!$Z$53:$AE$68,4)</f>
        <v>3.3058490260470114E-2</v>
      </c>
    </row>
    <row r="114" spans="1:33" s="1117" customFormat="1" ht="20.100000000000001" customHeight="1" x14ac:dyDescent="0.25">
      <c r="A114" s="1114"/>
      <c r="B114" s="1076" t="s">
        <v>395</v>
      </c>
      <c r="C114" s="1217" t="s">
        <v>62</v>
      </c>
      <c r="D114" s="1648">
        <f>VLOOKUP(MROUND(D32,5),'EmissRates MOVES2014'!$C$53:$H$68,4)</f>
        <v>0.27585590849864899</v>
      </c>
      <c r="E114" s="1212">
        <f>VLOOKUP(MROUND(E32,5),'EmissRates MOVES2014'!$C$53:$H$68,4)</f>
        <v>0.27585590849864899</v>
      </c>
      <c r="F114" s="1212">
        <f>VLOOKUP(MROUND(F32,5),'EmissRates MOVES2014'!$Z$53:$AE$68,4)</f>
        <v>3.1287524654783606E-2</v>
      </c>
      <c r="G114" s="1212">
        <f>VLOOKUP(MROUND(G32,5),'EmissRates MOVES2014'!$Z$53:$AE$68,4)</f>
        <v>3.1287524654783606E-2</v>
      </c>
      <c r="H114" s="1212">
        <f>VLOOKUP(MROUND(H32,5),'EmissRates MOVES2014'!$Z$53:$AE$68,4)</f>
        <v>3.1287524654783606E-2</v>
      </c>
      <c r="I114" s="1212">
        <f>VLOOKUP(MROUND(I32,5),'EmissRates MOVES2014'!$Z$53:$AE$68,4)</f>
        <v>3.2134828358238041E-2</v>
      </c>
      <c r="J114" s="1212">
        <f>VLOOKUP(MROUND(J32,5),'EmissRates MOVES2014'!$Z$53:$AE$68,4)</f>
        <v>3.2134828358238041E-2</v>
      </c>
      <c r="K114" s="1212">
        <f>VLOOKUP(MROUND(K32,5),'EmissRates MOVES2014'!$Z$53:$AE$68,4)</f>
        <v>3.2134828358238041E-2</v>
      </c>
      <c r="L114" s="1212">
        <f>VLOOKUP(MROUND(L32,5),'EmissRates MOVES2014'!$Z$53:$AE$68,4)</f>
        <v>3.2134828358238041E-2</v>
      </c>
      <c r="M114" s="1212">
        <f>VLOOKUP(MROUND(M32,5),'EmissRates MOVES2014'!$Z$53:$AE$68,4)</f>
        <v>3.2134828358238041E-2</v>
      </c>
      <c r="N114" s="1212">
        <f>VLOOKUP(MROUND(N32,5),'EmissRates MOVES2014'!$Z$53:$AE$68,4)</f>
        <v>3.2134828358238041E-2</v>
      </c>
      <c r="O114" s="1212">
        <f>VLOOKUP(MROUND(O32,5),'EmissRates MOVES2014'!$Z$53:$AE$68,4)</f>
        <v>3.2134828358238041E-2</v>
      </c>
      <c r="P114" s="1212">
        <f>VLOOKUP(MROUND(P32,5),'EmissRates MOVES2014'!$Z$53:$AE$68,4)</f>
        <v>3.2134828358238041E-2</v>
      </c>
      <c r="Q114" s="1212">
        <f>VLOOKUP(MROUND(Q32,5),'EmissRates MOVES2014'!$Z$53:$AE$68,4)</f>
        <v>3.2134828358238041E-2</v>
      </c>
      <c r="R114" s="1212">
        <f>VLOOKUP(MROUND(R32,5),'EmissRates MOVES2014'!$Z$53:$AE$68,4)</f>
        <v>3.3058490260470114E-2</v>
      </c>
      <c r="S114" s="1212">
        <f>VLOOKUP(MROUND(S32,5),'EmissRates MOVES2014'!$Z$53:$AE$68,4)</f>
        <v>3.3058490260470114E-2</v>
      </c>
      <c r="T114" s="1212">
        <f>VLOOKUP(MROUND(T32,5),'EmissRates MOVES2014'!$Z$53:$AE$68,4)</f>
        <v>3.3058490260470114E-2</v>
      </c>
      <c r="U114" s="1212">
        <f>VLOOKUP(MROUND(U32,5),'EmissRates MOVES2014'!$Z$53:$AE$68,4)</f>
        <v>3.3058490260470114E-2</v>
      </c>
      <c r="V114" s="1212">
        <f>VLOOKUP(MROUND(V32,5),'EmissRates MOVES2014'!$Z$53:$AE$68,4)</f>
        <v>3.3058490260470114E-2</v>
      </c>
      <c r="W114" s="1212">
        <f>VLOOKUP(MROUND(W32,5),'EmissRates MOVES2014'!$Z$53:$AE$68,4)</f>
        <v>3.3058490260470114E-2</v>
      </c>
      <c r="X114" s="1213">
        <f>VLOOKUP(MROUND(X32,5),'EmissRates MOVES2014'!$Z$53:$AE$68,4)</f>
        <v>3.3058490260470114E-2</v>
      </c>
    </row>
    <row r="115" spans="1:33" s="1117" customFormat="1" ht="20.100000000000001" customHeight="1" x14ac:dyDescent="0.25">
      <c r="A115" s="1114"/>
      <c r="B115" s="1076" t="s">
        <v>396</v>
      </c>
      <c r="C115" s="1217" t="s">
        <v>62</v>
      </c>
      <c r="D115" s="1648">
        <f>VLOOKUP(MROUND(D33,5),'EmissRates MOVES2014'!$C$53:$H$68,4)</f>
        <v>0.27585590849864899</v>
      </c>
      <c r="E115" s="1212">
        <f>VLOOKUP(MROUND(E33,5),'EmissRates MOVES2014'!$C$53:$H$68,4)</f>
        <v>0.27585590849864899</v>
      </c>
      <c r="F115" s="1212">
        <f>VLOOKUP(MROUND(F33,5),'EmissRates MOVES2014'!$Z$53:$AE$68,4)</f>
        <v>3.1287524654783606E-2</v>
      </c>
      <c r="G115" s="1212">
        <f>VLOOKUP(MROUND(G33,5),'EmissRates MOVES2014'!$Z$53:$AE$68,4)</f>
        <v>3.1287524654783606E-2</v>
      </c>
      <c r="H115" s="1212">
        <f>VLOOKUP(MROUND(H33,5),'EmissRates MOVES2014'!$Z$53:$AE$68,4)</f>
        <v>3.1287524654783606E-2</v>
      </c>
      <c r="I115" s="1212">
        <f>VLOOKUP(MROUND(I33,5),'EmissRates MOVES2014'!$Z$53:$AE$68,4)</f>
        <v>3.2134828358238041E-2</v>
      </c>
      <c r="J115" s="1212">
        <f>VLOOKUP(MROUND(J33,5),'EmissRates MOVES2014'!$Z$53:$AE$68,4)</f>
        <v>3.2134828358238041E-2</v>
      </c>
      <c r="K115" s="1212">
        <f>VLOOKUP(MROUND(K33,5),'EmissRates MOVES2014'!$Z$53:$AE$68,4)</f>
        <v>3.2134828358238041E-2</v>
      </c>
      <c r="L115" s="1212">
        <f>VLOOKUP(MROUND(L33,5),'EmissRates MOVES2014'!$Z$53:$AE$68,4)</f>
        <v>3.2134828358238041E-2</v>
      </c>
      <c r="M115" s="1212">
        <f>VLOOKUP(MROUND(M33,5),'EmissRates MOVES2014'!$Z$53:$AE$68,4)</f>
        <v>3.2134828358238041E-2</v>
      </c>
      <c r="N115" s="1212">
        <f>VLOOKUP(MROUND(N33,5),'EmissRates MOVES2014'!$Z$53:$AE$68,4)</f>
        <v>3.2134828358238041E-2</v>
      </c>
      <c r="O115" s="1212">
        <f>VLOOKUP(MROUND(O33,5),'EmissRates MOVES2014'!$Z$53:$AE$68,4)</f>
        <v>3.2134828358238041E-2</v>
      </c>
      <c r="P115" s="1212">
        <f>VLOOKUP(MROUND(P33,5),'EmissRates MOVES2014'!$Z$53:$AE$68,4)</f>
        <v>3.2134828358238041E-2</v>
      </c>
      <c r="Q115" s="1212">
        <f>VLOOKUP(MROUND(Q33,5),'EmissRates MOVES2014'!$Z$53:$AE$68,4)</f>
        <v>3.2134828358238041E-2</v>
      </c>
      <c r="R115" s="1212">
        <f>VLOOKUP(MROUND(R33,5),'EmissRates MOVES2014'!$Z$53:$AE$68,4)</f>
        <v>3.3058490260470114E-2</v>
      </c>
      <c r="S115" s="1212">
        <f>VLOOKUP(MROUND(S33,5),'EmissRates MOVES2014'!$Z$53:$AE$68,4)</f>
        <v>3.3058490260470114E-2</v>
      </c>
      <c r="T115" s="1212">
        <f>VLOOKUP(MROUND(T33,5),'EmissRates MOVES2014'!$Z$53:$AE$68,4)</f>
        <v>3.3058490260470114E-2</v>
      </c>
      <c r="U115" s="1212">
        <f>VLOOKUP(MROUND(U33,5),'EmissRates MOVES2014'!$Z$53:$AE$68,4)</f>
        <v>3.3058490260470114E-2</v>
      </c>
      <c r="V115" s="1212">
        <f>VLOOKUP(MROUND(V33,5),'EmissRates MOVES2014'!$Z$53:$AE$68,4)</f>
        <v>3.3058490260470114E-2</v>
      </c>
      <c r="W115" s="1212">
        <f>VLOOKUP(MROUND(W33,5),'EmissRates MOVES2014'!$Z$53:$AE$68,4)</f>
        <v>3.3058490260470114E-2</v>
      </c>
      <c r="X115" s="1213">
        <f>VLOOKUP(MROUND(X33,5),'EmissRates MOVES2014'!$Z$53:$AE$68,4)</f>
        <v>3.3058490260470114E-2</v>
      </c>
    </row>
    <row r="116" spans="1:33" s="1117" customFormat="1" ht="20.100000000000001" customHeight="1" thickBot="1" x14ac:dyDescent="0.3">
      <c r="A116" s="1114"/>
      <c r="B116" s="1070" t="s">
        <v>140</v>
      </c>
      <c r="C116" s="1220" t="s">
        <v>62</v>
      </c>
      <c r="D116" s="1649">
        <f>VLOOKUP(MROUND(D34,5),'EmissRates MOVES2014'!$C$53:$U$68,19)</f>
        <v>0.35701232501338603</v>
      </c>
      <c r="E116" s="1215">
        <f>VLOOKUP(MROUND(E34,5),'EmissRates MOVES2014'!$C$53:$U$68,19)</f>
        <v>0.35701232501338603</v>
      </c>
      <c r="F116" s="1215">
        <f>VLOOKUP(MROUND(F34,5),'EmissRates MOVES2014'!$Z$53:$AR$68,19)</f>
        <v>3.6891901685799366E-2</v>
      </c>
      <c r="G116" s="1215">
        <f>VLOOKUP(MROUND(G34,5),'EmissRates MOVES2014'!$Z$53:$AR$68,19)</f>
        <v>3.6891901685799366E-2</v>
      </c>
      <c r="H116" s="1215">
        <f>VLOOKUP(MROUND(H34,5),'EmissRates MOVES2014'!$Z$53:$AR$68,19)</f>
        <v>3.6891901685799366E-2</v>
      </c>
      <c r="I116" s="1215">
        <f>VLOOKUP(MROUND(I34,5),'EmissRates MOVES2014'!$Z$53:$AR$68,19)</f>
        <v>3.6891901685799366E-2</v>
      </c>
      <c r="J116" s="1215">
        <f>VLOOKUP(MROUND(J34,5),'EmissRates MOVES2014'!$Z$53:$AR$68,19)</f>
        <v>3.9274114064591921E-2</v>
      </c>
      <c r="K116" s="1215">
        <f>VLOOKUP(MROUND(K34,5),'EmissRates MOVES2014'!$Z$53:$AR$68,19)</f>
        <v>3.9274114064591921E-2</v>
      </c>
      <c r="L116" s="1215">
        <f>VLOOKUP(MROUND(L34,5),'EmissRates MOVES2014'!$Z$53:$AR$68,19)</f>
        <v>3.9274114064591921E-2</v>
      </c>
      <c r="M116" s="1215">
        <f>VLOOKUP(MROUND(M34,5),'EmissRates MOVES2014'!$Z$53:$AR$68,19)</f>
        <v>3.9274114064591921E-2</v>
      </c>
      <c r="N116" s="1215">
        <f>VLOOKUP(MROUND(N34,5),'EmissRates MOVES2014'!$Z$53:$AR$68,19)</f>
        <v>3.9274114064591921E-2</v>
      </c>
      <c r="O116" s="1215">
        <f>VLOOKUP(MROUND(O34,5),'EmissRates MOVES2014'!$Z$53:$AR$68,19)</f>
        <v>3.9274114064591921E-2</v>
      </c>
      <c r="P116" s="1215">
        <f>VLOOKUP(MROUND(P34,5),'EmissRates MOVES2014'!$Z$53:$AR$68,19)</f>
        <v>3.9274114064591921E-2</v>
      </c>
      <c r="Q116" s="1215">
        <f>VLOOKUP(MROUND(Q34,5),'EmissRates MOVES2014'!$Z$53:$AR$68,19)</f>
        <v>3.9274114064591921E-2</v>
      </c>
      <c r="R116" s="1215">
        <f>VLOOKUP(MROUND(R34,5),'EmissRates MOVES2014'!$Z$53:$AR$68,19)</f>
        <v>3.9274114064591921E-2</v>
      </c>
      <c r="S116" s="1215">
        <f>VLOOKUP(MROUND(S34,5),'EmissRates MOVES2014'!$Z$53:$AR$68,19)</f>
        <v>3.9274114064591921E-2</v>
      </c>
      <c r="T116" s="1215">
        <f>VLOOKUP(MROUND(T34,5),'EmissRates MOVES2014'!$Z$53:$AR$68,19)</f>
        <v>3.9274114064591921E-2</v>
      </c>
      <c r="U116" s="1215">
        <f>VLOOKUP(MROUND(U34,5),'EmissRates MOVES2014'!$Z$53:$AR$68,19)</f>
        <v>3.9274114064591921E-2</v>
      </c>
      <c r="V116" s="1215">
        <f>VLOOKUP(MROUND(V34,5),'EmissRates MOVES2014'!$Z$53:$AR$68,19)</f>
        <v>4.238472491627622E-2</v>
      </c>
      <c r="W116" s="1215">
        <f>VLOOKUP(MROUND(W34,5),'EmissRates MOVES2014'!$Z$53:$AR$68,19)</f>
        <v>4.238472491627622E-2</v>
      </c>
      <c r="X116" s="1650">
        <f>VLOOKUP(MROUND(X34,5),'EmissRates MOVES2014'!$Z$53:$AR$68,19)</f>
        <v>4.238472491627622E-2</v>
      </c>
    </row>
    <row r="117" spans="1:33" s="1117" customFormat="1" ht="20.100000000000001" customHeight="1" x14ac:dyDescent="0.25">
      <c r="A117" s="1114"/>
      <c r="B117" s="1128"/>
    </row>
    <row r="118" spans="1:33" s="1117" customFormat="1" ht="26.25" customHeight="1" x14ac:dyDescent="0.25">
      <c r="A118" s="1114"/>
      <c r="B118" s="1116" t="s">
        <v>321</v>
      </c>
      <c r="C118" s="1116"/>
      <c r="D118" s="1116"/>
      <c r="E118" s="1116"/>
      <c r="F118" s="1116"/>
      <c r="G118" s="1116"/>
      <c r="H118" s="1116"/>
      <c r="I118" s="1116"/>
      <c r="J118" s="1116"/>
      <c r="K118" s="1116"/>
      <c r="L118" s="1116"/>
      <c r="M118" s="1116"/>
      <c r="N118" s="1116"/>
      <c r="O118" s="1116"/>
      <c r="P118" s="1116"/>
      <c r="Q118" s="1116"/>
      <c r="R118" s="1116"/>
      <c r="S118" s="1116"/>
      <c r="T118" s="1116"/>
      <c r="U118" s="1116"/>
      <c r="V118" s="1116"/>
      <c r="W118" s="1116"/>
      <c r="X118" s="1116"/>
    </row>
    <row r="119" spans="1:33" s="1117" customFormat="1" ht="27.75" customHeight="1" x14ac:dyDescent="0.25">
      <c r="A119" s="1114"/>
      <c r="B119" s="1121" t="s">
        <v>322</v>
      </c>
      <c r="C119" s="1121"/>
      <c r="D119" s="1121"/>
      <c r="E119" s="1121"/>
      <c r="F119" s="1121"/>
      <c r="G119" s="1121"/>
      <c r="H119" s="1121"/>
      <c r="I119" s="1121"/>
      <c r="J119" s="1121"/>
      <c r="K119" s="1121"/>
      <c r="L119" s="1121"/>
      <c r="M119" s="1121"/>
    </row>
    <row r="120" spans="1:33" s="1117" customFormat="1" ht="27" customHeight="1" x14ac:dyDescent="0.25">
      <c r="A120" s="1114"/>
      <c r="B120" s="1121" t="s">
        <v>323</v>
      </c>
      <c r="C120" s="1121"/>
      <c r="D120" s="1127"/>
      <c r="E120" s="1127"/>
      <c r="F120" s="1221">
        <v>907184.7</v>
      </c>
      <c r="G120" s="1121" t="s">
        <v>312</v>
      </c>
      <c r="L120" s="1121"/>
      <c r="Y120" s="1114"/>
      <c r="Z120" s="1114"/>
      <c r="AA120" s="1114"/>
      <c r="AB120" s="1114"/>
      <c r="AC120" s="1114"/>
      <c r="AD120" s="1114"/>
      <c r="AE120" s="1114"/>
      <c r="AF120" s="1114"/>
      <c r="AG120" s="1114"/>
    </row>
    <row r="121" spans="1:33" s="1117" customFormat="1" ht="20.100000000000001" customHeight="1" x14ac:dyDescent="0.25">
      <c r="A121" s="1114"/>
      <c r="D121" s="1128"/>
      <c r="E121" s="1128"/>
      <c r="F121" s="1128"/>
      <c r="H121" s="1128"/>
      <c r="I121" s="1128"/>
      <c r="J121" s="1128"/>
      <c r="Y121" s="1114"/>
      <c r="Z121" s="1114"/>
      <c r="AA121" s="1114"/>
      <c r="AB121" s="1114"/>
      <c r="AC121" s="1114"/>
      <c r="AD121" s="1114"/>
      <c r="AE121" s="1114"/>
      <c r="AF121" s="1114"/>
      <c r="AG121" s="1114"/>
    </row>
    <row r="122" spans="1:33" s="1117" customFormat="1" ht="30" customHeight="1" thickBot="1" x14ac:dyDescent="0.3">
      <c r="A122" s="1114"/>
      <c r="D122" s="1843" t="s">
        <v>495</v>
      </c>
      <c r="E122" s="1843"/>
      <c r="F122" s="1843"/>
      <c r="G122" s="1843"/>
      <c r="H122" s="1843"/>
      <c r="I122" s="1843"/>
      <c r="J122" s="1843"/>
      <c r="K122" s="1843"/>
      <c r="L122" s="1843"/>
      <c r="M122" s="1843"/>
      <c r="N122" s="1843"/>
      <c r="O122" s="1843"/>
      <c r="P122" s="1843"/>
      <c r="Q122" s="1843"/>
      <c r="R122" s="1843"/>
      <c r="S122" s="1843"/>
      <c r="T122" s="1843"/>
      <c r="U122" s="1843"/>
      <c r="V122" s="1843"/>
      <c r="W122" s="1843"/>
      <c r="X122" s="1843"/>
      <c r="Y122" s="1130"/>
      <c r="Z122" s="1130"/>
      <c r="AA122" s="1130"/>
      <c r="AB122" s="1130"/>
      <c r="AC122" s="1130"/>
      <c r="AD122" s="1130"/>
      <c r="AE122" s="1130"/>
      <c r="AF122" s="1130"/>
      <c r="AG122" s="1114"/>
    </row>
    <row r="123" spans="1:33" s="1117" customFormat="1" ht="20.100000000000001" customHeight="1" thickBot="1" x14ac:dyDescent="0.3">
      <c r="A123" s="1114"/>
      <c r="B123" s="1128"/>
      <c r="C123" s="1210" t="s">
        <v>117</v>
      </c>
      <c r="D123" s="712">
        <v>2023</v>
      </c>
      <c r="E123" s="417">
        <f>D123+1</f>
        <v>2024</v>
      </c>
      <c r="F123" s="417">
        <f t="shared" ref="F123:X123" si="42">E123+1</f>
        <v>2025</v>
      </c>
      <c r="G123" s="417">
        <f t="shared" si="42"/>
        <v>2026</v>
      </c>
      <c r="H123" s="417">
        <f t="shared" si="42"/>
        <v>2027</v>
      </c>
      <c r="I123" s="417">
        <f t="shared" si="42"/>
        <v>2028</v>
      </c>
      <c r="J123" s="417">
        <f t="shared" si="42"/>
        <v>2029</v>
      </c>
      <c r="K123" s="417">
        <f t="shared" si="42"/>
        <v>2030</v>
      </c>
      <c r="L123" s="417">
        <f t="shared" si="42"/>
        <v>2031</v>
      </c>
      <c r="M123" s="417">
        <f t="shared" si="42"/>
        <v>2032</v>
      </c>
      <c r="N123" s="417">
        <f t="shared" si="42"/>
        <v>2033</v>
      </c>
      <c r="O123" s="417">
        <f t="shared" si="42"/>
        <v>2034</v>
      </c>
      <c r="P123" s="417">
        <f t="shared" si="42"/>
        <v>2035</v>
      </c>
      <c r="Q123" s="417">
        <f t="shared" si="42"/>
        <v>2036</v>
      </c>
      <c r="R123" s="417">
        <f t="shared" si="42"/>
        <v>2037</v>
      </c>
      <c r="S123" s="417">
        <f t="shared" si="42"/>
        <v>2038</v>
      </c>
      <c r="T123" s="417">
        <f t="shared" si="42"/>
        <v>2039</v>
      </c>
      <c r="U123" s="417">
        <f t="shared" si="42"/>
        <v>2040</v>
      </c>
      <c r="V123" s="417">
        <f t="shared" si="42"/>
        <v>2041</v>
      </c>
      <c r="W123" s="417">
        <f t="shared" si="42"/>
        <v>2042</v>
      </c>
      <c r="X123" s="713">
        <f t="shared" si="42"/>
        <v>2043</v>
      </c>
      <c r="Y123" s="1114"/>
      <c r="Z123" s="1114"/>
      <c r="AA123" s="1114"/>
      <c r="AB123" s="1114"/>
      <c r="AC123" s="1114"/>
      <c r="AD123" s="1114"/>
      <c r="AE123" s="1114"/>
      <c r="AF123" s="1114"/>
      <c r="AG123" s="1114"/>
    </row>
    <row r="124" spans="1:33" s="1066" customFormat="1" ht="20.100000000000001" customHeight="1" x14ac:dyDescent="0.2">
      <c r="A124" s="1064"/>
      <c r="B124" s="1222" t="s">
        <v>287</v>
      </c>
      <c r="C124" s="1159" t="s">
        <v>62</v>
      </c>
      <c r="D124" s="1223">
        <f t="shared" ref="D124:E127" si="43">D7*D106/$F$120</f>
        <v>104.16012890042325</v>
      </c>
      <c r="E124" s="1223">
        <f t="shared" si="43"/>
        <v>105.03547054044105</v>
      </c>
      <c r="F124" s="1223">
        <f t="shared" ref="F124:H124" si="44">F7*F106/$F$120</f>
        <v>12.162029119507004</v>
      </c>
      <c r="G124" s="1223">
        <f t="shared" si="44"/>
        <v>12.264236467249358</v>
      </c>
      <c r="H124" s="1223">
        <f t="shared" si="44"/>
        <v>12.367302745835394</v>
      </c>
      <c r="I124" s="1223">
        <f t="shared" ref="I124:X124" si="45">I7*I106/$F$120</f>
        <v>12.471235173554312</v>
      </c>
      <c r="J124" s="1223">
        <f t="shared" si="45"/>
        <v>12.983431571699809</v>
      </c>
      <c r="K124" s="1223">
        <f t="shared" si="45"/>
        <v>13.092541827274625</v>
      </c>
      <c r="L124" s="1223">
        <f t="shared" si="45"/>
        <v>13.20256902439959</v>
      </c>
      <c r="M124" s="1223">
        <f t="shared" si="45"/>
        <v>13.313520868874694</v>
      </c>
      <c r="N124" s="1223">
        <f t="shared" si="45"/>
        <v>13.425405131257984</v>
      </c>
      <c r="O124" s="1223">
        <f t="shared" si="45"/>
        <v>14.917257469956544</v>
      </c>
      <c r="P124" s="1223">
        <f t="shared" si="45"/>
        <v>15.042619225516612</v>
      </c>
      <c r="Q124" s="1223">
        <f t="shared" si="45"/>
        <v>15.169034497099229</v>
      </c>
      <c r="R124" s="1223">
        <f t="shared" si="45"/>
        <v>15.296512138249923</v>
      </c>
      <c r="S124" s="1223">
        <f t="shared" si="45"/>
        <v>15.425061076917698</v>
      </c>
      <c r="T124" s="1223">
        <f t="shared" si="45"/>
        <v>15.554690316080334</v>
      </c>
      <c r="U124" s="1223">
        <f t="shared" si="45"/>
        <v>15.6854089343749</v>
      </c>
      <c r="V124" s="1223">
        <f t="shared" si="45"/>
        <v>18.492929069291222</v>
      </c>
      <c r="W124" s="1223">
        <f t="shared" si="45"/>
        <v>18.648340079541818</v>
      </c>
      <c r="X124" s="1224">
        <f t="shared" si="45"/>
        <v>18.80505713395754</v>
      </c>
      <c r="Y124" s="1064"/>
      <c r="Z124" s="1064"/>
      <c r="AA124" s="1064"/>
      <c r="AB124" s="1064"/>
      <c r="AC124" s="1064"/>
      <c r="AD124" s="1064"/>
      <c r="AE124" s="1064"/>
      <c r="AF124" s="1064"/>
      <c r="AG124" s="1064"/>
    </row>
    <row r="125" spans="1:33" s="1066" customFormat="1" ht="20.100000000000001" customHeight="1" x14ac:dyDescent="0.2">
      <c r="A125" s="1064"/>
      <c r="B125" s="1225" t="s">
        <v>288</v>
      </c>
      <c r="C125" s="1165" t="s">
        <v>62</v>
      </c>
      <c r="D125" s="1226">
        <f t="shared" si="43"/>
        <v>56.430406355655514</v>
      </c>
      <c r="E125" s="1226">
        <f t="shared" si="43"/>
        <v>56.474686867062417</v>
      </c>
      <c r="F125" s="1226">
        <f t="shared" ref="F125:H125" si="46">F8*F107/$F$120</f>
        <v>6.4897813108501481</v>
      </c>
      <c r="G125" s="1226">
        <f t="shared" si="46"/>
        <v>6.4948737929696696</v>
      </c>
      <c r="H125" s="1226">
        <f t="shared" si="46"/>
        <v>6.499970271121243</v>
      </c>
      <c r="I125" s="1226">
        <f t="shared" ref="I125:X125" si="47">I8*I107/$F$120</f>
        <v>6.5050707484405272</v>
      </c>
      <c r="J125" s="1226">
        <f t="shared" si="47"/>
        <v>6.721067019108709</v>
      </c>
      <c r="K125" s="1226">
        <f t="shared" si="47"/>
        <v>6.7263409893674106</v>
      </c>
      <c r="L125" s="1226">
        <f t="shared" si="47"/>
        <v>6.7316190980705333</v>
      </c>
      <c r="M125" s="1226">
        <f t="shared" si="47"/>
        <v>6.7369013484654792</v>
      </c>
      <c r="N125" s="1226">
        <f t="shared" si="47"/>
        <v>6.7421877438022042</v>
      </c>
      <c r="O125" s="1226">
        <f t="shared" si="47"/>
        <v>7.4347882630539237</v>
      </c>
      <c r="P125" s="1226">
        <f t="shared" si="47"/>
        <v>7.4406222849536636</v>
      </c>
      <c r="Q125" s="1226">
        <f t="shared" si="47"/>
        <v>7.4464608847660942</v>
      </c>
      <c r="R125" s="1226">
        <f t="shared" si="47"/>
        <v>7.4523040660834656</v>
      </c>
      <c r="S125" s="1226">
        <f t="shared" si="47"/>
        <v>7.4581518325008487</v>
      </c>
      <c r="T125" s="1226">
        <f t="shared" si="47"/>
        <v>7.4640041876161414</v>
      </c>
      <c r="U125" s="1226">
        <f t="shared" si="47"/>
        <v>7.4698611350300581</v>
      </c>
      <c r="V125" s="1226">
        <f t="shared" si="47"/>
        <v>8.7403447655275102</v>
      </c>
      <c r="W125" s="1226">
        <f t="shared" si="47"/>
        <v>8.7472032477020143</v>
      </c>
      <c r="X125" s="1227">
        <f t="shared" si="47"/>
        <v>8.7540671116754059</v>
      </c>
      <c r="Y125" s="1064"/>
      <c r="Z125" s="1064"/>
      <c r="AA125" s="1064"/>
      <c r="AB125" s="1064"/>
      <c r="AC125" s="1064"/>
      <c r="AD125" s="1064"/>
      <c r="AE125" s="1064"/>
      <c r="AF125" s="1064"/>
      <c r="AG125" s="1064"/>
    </row>
    <row r="126" spans="1:33" s="1066" customFormat="1" ht="20.100000000000001" customHeight="1" x14ac:dyDescent="0.2">
      <c r="A126" s="1064"/>
      <c r="B126" s="1225" t="s">
        <v>289</v>
      </c>
      <c r="C126" s="1165" t="s">
        <v>62</v>
      </c>
      <c r="D126" s="1226">
        <f t="shared" si="43"/>
        <v>34.281218803666889</v>
      </c>
      <c r="E126" s="1226">
        <f t="shared" si="43"/>
        <v>34.565874337164097</v>
      </c>
      <c r="F126" s="1226">
        <f t="shared" ref="F126:H126" si="48">F9*F108/$F$120</f>
        <v>4.0019754151585287</v>
      </c>
      <c r="G126" s="1226">
        <f t="shared" si="48"/>
        <v>4.0352059853249189</v>
      </c>
      <c r="H126" s="1226">
        <f t="shared" si="48"/>
        <v>4.0687124869199245</v>
      </c>
      <c r="I126" s="1226">
        <f t="shared" ref="I126:X126" si="49">I9*I108/$F$120</f>
        <v>4.1024972111516966</v>
      </c>
      <c r="J126" s="1226">
        <f t="shared" si="49"/>
        <v>4.2705630192572466</v>
      </c>
      <c r="K126" s="1226">
        <f t="shared" si="49"/>
        <v>4.3060238178228465</v>
      </c>
      <c r="L126" s="1226">
        <f t="shared" si="49"/>
        <v>4.3417790666118119</v>
      </c>
      <c r="M126" s="1226">
        <f t="shared" si="49"/>
        <v>4.3778312106038788</v>
      </c>
      <c r="N126" s="1226">
        <f t="shared" si="49"/>
        <v>4.4141827150807806</v>
      </c>
      <c r="O126" s="1226">
        <f t="shared" si="49"/>
        <v>4.9042060357376727</v>
      </c>
      <c r="P126" s="1226">
        <f t="shared" si="49"/>
        <v>4.9449283155807029</v>
      </c>
      <c r="Q126" s="1226">
        <f t="shared" si="49"/>
        <v>4.9859887345768481</v>
      </c>
      <c r="R126" s="1226">
        <f t="shared" si="49"/>
        <v>5.0273901004786978</v>
      </c>
      <c r="S126" s="1226">
        <f t="shared" si="49"/>
        <v>5.0691352443531406</v>
      </c>
      <c r="T126" s="1226">
        <f t="shared" si="49"/>
        <v>5.1112270207749422</v>
      </c>
      <c r="U126" s="1226">
        <f t="shared" si="49"/>
        <v>5.1536683080219525</v>
      </c>
      <c r="V126" s="1226">
        <f t="shared" si="49"/>
        <v>6.0755155678554518</v>
      </c>
      <c r="W126" s="1226">
        <f t="shared" si="49"/>
        <v>6.1259638653661996</v>
      </c>
      <c r="X126" s="1227">
        <f t="shared" si="49"/>
        <v>6.1768310624243714</v>
      </c>
      <c r="Y126" s="1064"/>
      <c r="Z126" s="1064"/>
      <c r="AA126" s="1064"/>
      <c r="AB126" s="1064"/>
      <c r="AC126" s="1064"/>
      <c r="AD126" s="1064"/>
      <c r="AE126" s="1064"/>
      <c r="AF126" s="1064"/>
      <c r="AG126" s="1064"/>
    </row>
    <row r="127" spans="1:33" s="1066" customFormat="1" ht="20.100000000000001" customHeight="1" thickBot="1" x14ac:dyDescent="0.25">
      <c r="A127" s="1064"/>
      <c r="B127" s="1228" t="s">
        <v>140</v>
      </c>
      <c r="C127" s="1167" t="s">
        <v>62</v>
      </c>
      <c r="D127" s="1229">
        <f t="shared" si="43"/>
        <v>20.049603181299883</v>
      </c>
      <c r="E127" s="1229">
        <f t="shared" si="43"/>
        <v>21.962898877073965</v>
      </c>
      <c r="F127" s="1229">
        <f t="shared" ref="F127:H127" si="50">F10*F109/$F$120</f>
        <v>2.2490211541364635</v>
      </c>
      <c r="G127" s="1229">
        <f t="shared" si="50"/>
        <v>2.2637579386399547</v>
      </c>
      <c r="H127" s="1229">
        <f t="shared" si="50"/>
        <v>2.2785912864048021</v>
      </c>
      <c r="I127" s="1229">
        <f t="shared" ref="I127:X127" si="51">I10*I109/$F$120</f>
        <v>2.2935218301649263</v>
      </c>
      <c r="J127" s="1229">
        <f t="shared" si="51"/>
        <v>2.6390104796798521</v>
      </c>
      <c r="K127" s="1229">
        <f t="shared" si="51"/>
        <v>2.6563026819652635</v>
      </c>
      <c r="L127" s="1229">
        <f t="shared" si="51"/>
        <v>2.6737081919704364</v>
      </c>
      <c r="M127" s="1229">
        <f t="shared" si="51"/>
        <v>2.6912277521479022</v>
      </c>
      <c r="N127" s="1229">
        <f t="shared" si="51"/>
        <v>2.7088621098151369</v>
      </c>
      <c r="O127" s="1229">
        <f t="shared" si="51"/>
        <v>3.0091691885128675</v>
      </c>
      <c r="P127" s="1229">
        <f t="shared" si="51"/>
        <v>3.0288868678170822</v>
      </c>
      <c r="Q127" s="1229">
        <f t="shared" si="51"/>
        <v>3.0487337478583747</v>
      </c>
      <c r="R127" s="1229">
        <f t="shared" si="51"/>
        <v>3.0687106752287892</v>
      </c>
      <c r="S127" s="1229">
        <f t="shared" si="51"/>
        <v>3.0888185020676935</v>
      </c>
      <c r="T127" s="1229">
        <f t="shared" si="51"/>
        <v>3.1090580860981269</v>
      </c>
      <c r="U127" s="1229">
        <f t="shared" si="51"/>
        <v>3.5815723276511959</v>
      </c>
      <c r="V127" s="1229">
        <f t="shared" si="51"/>
        <v>3.6050406972035174</v>
      </c>
      <c r="W127" s="1229">
        <f t="shared" si="51"/>
        <v>3.6286628440131601</v>
      </c>
      <c r="X127" s="1230">
        <f t="shared" si="51"/>
        <v>3.6524397757106208</v>
      </c>
      <c r="Y127" s="1064"/>
      <c r="Z127" s="1064"/>
      <c r="AA127" s="1064"/>
      <c r="AB127" s="1064"/>
      <c r="AC127" s="1064"/>
      <c r="AD127" s="1064"/>
      <c r="AE127" s="1064"/>
      <c r="AF127" s="1064"/>
      <c r="AG127" s="1064"/>
    </row>
    <row r="128" spans="1:33" s="1066" customFormat="1" ht="20.100000000000001" customHeight="1" x14ac:dyDescent="0.2">
      <c r="A128" s="1064"/>
      <c r="B128" s="1231"/>
      <c r="C128" s="1095"/>
      <c r="D128" s="1133"/>
      <c r="E128" s="1133"/>
      <c r="F128" s="1133"/>
      <c r="G128" s="1133"/>
      <c r="H128" s="1133"/>
      <c r="I128" s="1133"/>
      <c r="J128" s="1133"/>
      <c r="K128" s="1133"/>
      <c r="L128" s="1133"/>
      <c r="M128" s="1133"/>
      <c r="N128" s="1133"/>
      <c r="O128" s="1133"/>
      <c r="P128" s="1133"/>
      <c r="Q128" s="1133"/>
      <c r="R128" s="1133"/>
      <c r="S128" s="1133"/>
      <c r="T128" s="1133"/>
      <c r="U128" s="1133"/>
      <c r="V128" s="1133"/>
      <c r="W128" s="1133"/>
      <c r="X128" s="1133"/>
      <c r="Y128" s="1064"/>
      <c r="Z128" s="1064"/>
      <c r="AA128" s="1064"/>
      <c r="AB128" s="1064"/>
      <c r="AC128" s="1064"/>
      <c r="AD128" s="1064"/>
      <c r="AE128" s="1064"/>
      <c r="AF128" s="1064"/>
      <c r="AG128" s="1064"/>
    </row>
    <row r="129" spans="1:33" s="1066" customFormat="1" ht="20.100000000000001" customHeight="1" thickBot="1" x14ac:dyDescent="0.45">
      <c r="A129" s="1064"/>
      <c r="B129" s="1231"/>
      <c r="D129" s="1840" t="s">
        <v>496</v>
      </c>
      <c r="E129" s="1840"/>
      <c r="F129" s="1840"/>
      <c r="G129" s="1840"/>
      <c r="H129" s="1840"/>
      <c r="I129" s="1840"/>
      <c r="J129" s="1840"/>
      <c r="K129" s="1840"/>
      <c r="L129" s="1840"/>
      <c r="M129" s="1840"/>
      <c r="N129" s="1840"/>
      <c r="O129" s="1840"/>
      <c r="P129" s="1840"/>
      <c r="Q129" s="1840"/>
      <c r="R129" s="1840"/>
      <c r="S129" s="1840"/>
      <c r="T129" s="1840"/>
      <c r="U129" s="1840"/>
      <c r="V129" s="1840"/>
      <c r="W129" s="1840"/>
      <c r="X129" s="1840"/>
      <c r="Y129" s="1064"/>
      <c r="Z129" s="1064"/>
      <c r="AA129" s="1064"/>
      <c r="AB129" s="1064"/>
      <c r="AC129" s="1064"/>
      <c r="AD129" s="1064"/>
      <c r="AE129" s="1064"/>
      <c r="AF129" s="1064"/>
      <c r="AG129" s="1064"/>
    </row>
    <row r="130" spans="1:33" s="1066" customFormat="1" ht="20.100000000000001" customHeight="1" thickBot="1" x14ac:dyDescent="0.3">
      <c r="A130" s="1064"/>
      <c r="B130" s="1090"/>
      <c r="C130" s="1193" t="s">
        <v>117</v>
      </c>
      <c r="D130" s="712">
        <v>2023</v>
      </c>
      <c r="E130" s="417">
        <f>D130+1</f>
        <v>2024</v>
      </c>
      <c r="F130" s="417">
        <f t="shared" ref="F130:X130" si="52">E130+1</f>
        <v>2025</v>
      </c>
      <c r="G130" s="417">
        <f t="shared" si="52"/>
        <v>2026</v>
      </c>
      <c r="H130" s="417">
        <f t="shared" si="52"/>
        <v>2027</v>
      </c>
      <c r="I130" s="417">
        <f t="shared" si="52"/>
        <v>2028</v>
      </c>
      <c r="J130" s="417">
        <f t="shared" si="52"/>
        <v>2029</v>
      </c>
      <c r="K130" s="417">
        <f t="shared" si="52"/>
        <v>2030</v>
      </c>
      <c r="L130" s="417">
        <f t="shared" si="52"/>
        <v>2031</v>
      </c>
      <c r="M130" s="417">
        <f t="shared" si="52"/>
        <v>2032</v>
      </c>
      <c r="N130" s="417">
        <f t="shared" si="52"/>
        <v>2033</v>
      </c>
      <c r="O130" s="417">
        <f t="shared" si="52"/>
        <v>2034</v>
      </c>
      <c r="P130" s="417">
        <f t="shared" si="52"/>
        <v>2035</v>
      </c>
      <c r="Q130" s="417">
        <f t="shared" si="52"/>
        <v>2036</v>
      </c>
      <c r="R130" s="417">
        <f t="shared" si="52"/>
        <v>2037</v>
      </c>
      <c r="S130" s="417">
        <f t="shared" si="52"/>
        <v>2038</v>
      </c>
      <c r="T130" s="417">
        <f t="shared" si="52"/>
        <v>2039</v>
      </c>
      <c r="U130" s="417">
        <f t="shared" si="52"/>
        <v>2040</v>
      </c>
      <c r="V130" s="417">
        <f t="shared" si="52"/>
        <v>2041</v>
      </c>
      <c r="W130" s="417">
        <f t="shared" si="52"/>
        <v>2042</v>
      </c>
      <c r="X130" s="713">
        <f t="shared" si="52"/>
        <v>2043</v>
      </c>
      <c r="Y130" s="1064"/>
      <c r="Z130" s="1064"/>
      <c r="AA130" s="1064"/>
      <c r="AB130" s="1064"/>
      <c r="AC130" s="1064"/>
      <c r="AD130" s="1064"/>
      <c r="AE130" s="1064"/>
      <c r="AF130" s="1064"/>
      <c r="AG130" s="1064"/>
    </row>
    <row r="131" spans="1:33" s="1066" customFormat="1" ht="20.100000000000001" customHeight="1" x14ac:dyDescent="0.2">
      <c r="A131" s="1064"/>
      <c r="B131" s="1232" t="s">
        <v>287</v>
      </c>
      <c r="C131" s="1159" t="s">
        <v>62</v>
      </c>
      <c r="D131" s="1223">
        <f t="shared" ref="D131:E134" si="53">D16*D113/$F$120</f>
        <v>115.38245443269925</v>
      </c>
      <c r="E131" s="1223">
        <f t="shared" si="53"/>
        <v>116.58911547132769</v>
      </c>
      <c r="F131" s="1223">
        <f t="shared" ref="F131:H131" si="54">F16*F113/$F$120</f>
        <v>13.361805822658308</v>
      </c>
      <c r="G131" s="1223">
        <f t="shared" si="54"/>
        <v>13.501542583946613</v>
      </c>
      <c r="H131" s="1223">
        <f t="shared" si="54"/>
        <v>13.642740701784657</v>
      </c>
      <c r="I131" s="1223">
        <f t="shared" ref="I131:X131" si="55">I16*I113/$F$120</f>
        <v>14.158741047990478</v>
      </c>
      <c r="J131" s="1223">
        <f t="shared" si="55"/>
        <v>14.306812097983649</v>
      </c>
      <c r="K131" s="1223">
        <f t="shared" si="55"/>
        <v>14.456431663891605</v>
      </c>
      <c r="L131" s="1223">
        <f t="shared" si="55"/>
        <v>14.607615939977423</v>
      </c>
      <c r="M131" s="1223">
        <f t="shared" si="55"/>
        <v>14.76038128986257</v>
      </c>
      <c r="N131" s="1223">
        <f t="shared" si="55"/>
        <v>14.914744248298041</v>
      </c>
      <c r="O131" s="1223">
        <f t="shared" si="55"/>
        <v>15.070721522954008</v>
      </c>
      <c r="P131" s="1223">
        <f t="shared" si="55"/>
        <v>15.228329996228208</v>
      </c>
      <c r="Q131" s="1223">
        <f t="shared" si="55"/>
        <v>15.387586727073222</v>
      </c>
      <c r="R131" s="1223">
        <f t="shared" si="55"/>
        <v>15.995424840992419</v>
      </c>
      <c r="S131" s="1223">
        <f t="shared" si="55"/>
        <v>16.162703792084528</v>
      </c>
      <c r="T131" s="1223">
        <f t="shared" si="55"/>
        <v>16.331732133877832</v>
      </c>
      <c r="U131" s="1223">
        <f t="shared" si="55"/>
        <v>16.502528161368836</v>
      </c>
      <c r="V131" s="1223">
        <f t="shared" si="55"/>
        <v>16.675110360881732</v>
      </c>
      <c r="W131" s="1223">
        <f t="shared" si="55"/>
        <v>16.849497412069333</v>
      </c>
      <c r="X131" s="1224">
        <f t="shared" si="55"/>
        <v>17.025708189934814</v>
      </c>
      <c r="Y131" s="1064"/>
      <c r="Z131" s="1064"/>
      <c r="AA131" s="1064"/>
      <c r="AB131" s="1064"/>
      <c r="AC131" s="1064"/>
      <c r="AD131" s="1064"/>
      <c r="AE131" s="1064"/>
      <c r="AF131" s="1064"/>
      <c r="AG131" s="1064"/>
    </row>
    <row r="132" spans="1:33" s="1066" customFormat="1" ht="20.100000000000001" customHeight="1" x14ac:dyDescent="0.2">
      <c r="A132" s="1064"/>
      <c r="B132" s="1233" t="s">
        <v>288</v>
      </c>
      <c r="C132" s="1165" t="s">
        <v>62</v>
      </c>
      <c r="D132" s="1226">
        <f t="shared" si="53"/>
        <v>62.634631846057239</v>
      </c>
      <c r="E132" s="1226">
        <f t="shared" si="53"/>
        <v>62.80577370413517</v>
      </c>
      <c r="F132" s="1226">
        <f t="shared" ref="F132:H132" si="56">F17*F114/$F$120</f>
        <v>7.1428828184090261</v>
      </c>
      <c r="G132" s="1226">
        <f t="shared" si="56"/>
        <v>7.1623999162436558</v>
      </c>
      <c r="H132" s="1226">
        <f t="shared" si="56"/>
        <v>7.1819703422816978</v>
      </c>
      <c r="I132" s="1226">
        <f t="shared" ref="I132:X132" si="57">I17*I114/$F$120</f>
        <v>7.3966220541053733</v>
      </c>
      <c r="J132" s="1226">
        <f t="shared" si="57"/>
        <v>7.4168324649360962</v>
      </c>
      <c r="K132" s="1226">
        <f t="shared" si="57"/>
        <v>7.4370980983674828</v>
      </c>
      <c r="L132" s="1226">
        <f t="shared" si="57"/>
        <v>7.4574191052888734</v>
      </c>
      <c r="M132" s="1226">
        <f t="shared" si="57"/>
        <v>7.4777956370019023</v>
      </c>
      <c r="N132" s="1226">
        <f t="shared" si="57"/>
        <v>7.4982278452216145</v>
      </c>
      <c r="O132" s="1226">
        <f t="shared" si="57"/>
        <v>7.518715882077597</v>
      </c>
      <c r="P132" s="1226">
        <f t="shared" si="57"/>
        <v>7.5392599001151197</v>
      </c>
      <c r="Q132" s="1226">
        <f t="shared" si="57"/>
        <v>7.5598600522962549</v>
      </c>
      <c r="R132" s="1226">
        <f t="shared" si="57"/>
        <v>7.7984057617007858</v>
      </c>
      <c r="S132" s="1226">
        <f t="shared" si="57"/>
        <v>7.8197139998554128</v>
      </c>
      <c r="T132" s="1226">
        <f t="shared" si="57"/>
        <v>7.8410804602963786</v>
      </c>
      <c r="U132" s="1226">
        <f t="shared" si="57"/>
        <v>7.8625053021093239</v>
      </c>
      <c r="V132" s="1226">
        <f t="shared" si="57"/>
        <v>7.8839886848145655</v>
      </c>
      <c r="W132" s="1226">
        <f t="shared" si="57"/>
        <v>7.9055307683682905</v>
      </c>
      <c r="X132" s="1227">
        <f t="shared" si="57"/>
        <v>7.9271317131637549</v>
      </c>
      <c r="Y132" s="1064"/>
      <c r="Z132" s="1064"/>
      <c r="AA132" s="1064"/>
      <c r="AB132" s="1064"/>
      <c r="AC132" s="1064"/>
      <c r="AD132" s="1064"/>
      <c r="AE132" s="1064"/>
      <c r="AF132" s="1064"/>
      <c r="AG132" s="1064"/>
    </row>
    <row r="133" spans="1:33" s="1066" customFormat="1" ht="20.100000000000001" customHeight="1" x14ac:dyDescent="0.2">
      <c r="A133" s="1064"/>
      <c r="B133" s="1233" t="s">
        <v>289</v>
      </c>
      <c r="C133" s="1165" t="s">
        <v>62</v>
      </c>
      <c r="D133" s="1226">
        <f t="shared" si="53"/>
        <v>37.977751138415947</v>
      </c>
      <c r="E133" s="1226">
        <f t="shared" si="53"/>
        <v>38.371189761515083</v>
      </c>
      <c r="F133" s="1226">
        <f t="shared" ref="F133:H133" si="58">F18*F115/$F$120</f>
        <v>4.3971390647324125</v>
      </c>
      <c r="G133" s="1226">
        <f t="shared" si="58"/>
        <v>4.4426921658862559</v>
      </c>
      <c r="H133" s="1226">
        <f t="shared" si="58"/>
        <v>4.4887171841194036</v>
      </c>
      <c r="I133" s="1226">
        <f t="shared" ref="I133:X133" si="59">I18*I115/$F$120</f>
        <v>4.6580381800293189</v>
      </c>
      <c r="J133" s="1226">
        <f t="shared" si="59"/>
        <v>4.7062941212833067</v>
      </c>
      <c r="K133" s="1226">
        <f t="shared" si="59"/>
        <v>4.7550499802658104</v>
      </c>
      <c r="L133" s="1226">
        <f t="shared" si="59"/>
        <v>4.8043109359812979</v>
      </c>
      <c r="M133" s="1226">
        <f t="shared" si="59"/>
        <v>4.8540822210872401</v>
      </c>
      <c r="N133" s="1226">
        <f t="shared" si="59"/>
        <v>4.9043691224499364</v>
      </c>
      <c r="O133" s="1226">
        <f t="shared" si="59"/>
        <v>4.9551769817061091</v>
      </c>
      <c r="P133" s="1226">
        <f t="shared" si="59"/>
        <v>5.0065111958303081</v>
      </c>
      <c r="Q133" s="1226">
        <f t="shared" si="59"/>
        <v>5.0583772177081903</v>
      </c>
      <c r="R133" s="1226">
        <f t="shared" si="59"/>
        <v>5.2576813970837568</v>
      </c>
      <c r="S133" s="1226">
        <f t="shared" si="59"/>
        <v>5.312149470299131</v>
      </c>
      <c r="T133" s="1226">
        <f t="shared" si="59"/>
        <v>5.3671818171506835</v>
      </c>
      <c r="U133" s="1226">
        <f t="shared" si="59"/>
        <v>5.4227842833516489</v>
      </c>
      <c r="V133" s="1226">
        <f t="shared" si="59"/>
        <v>5.4789627751751784</v>
      </c>
      <c r="W133" s="1226">
        <f t="shared" si="59"/>
        <v>5.5357232600817179</v>
      </c>
      <c r="X133" s="1227">
        <f t="shared" si="59"/>
        <v>5.5930717673528942</v>
      </c>
      <c r="Y133" s="1064"/>
      <c r="Z133" s="1064"/>
      <c r="AA133" s="1064"/>
      <c r="AB133" s="1064"/>
      <c r="AC133" s="1064"/>
      <c r="AD133" s="1064"/>
      <c r="AE133" s="1064"/>
      <c r="AF133" s="1064"/>
      <c r="AG133" s="1064"/>
    </row>
    <row r="134" spans="1:33" s="1066" customFormat="1" ht="20.100000000000001" customHeight="1" thickBot="1" x14ac:dyDescent="0.25">
      <c r="A134" s="1064"/>
      <c r="B134" s="1234" t="s">
        <v>140</v>
      </c>
      <c r="C134" s="1167" t="s">
        <v>62</v>
      </c>
      <c r="D134" s="1229">
        <f t="shared" si="53"/>
        <v>17.046882935214121</v>
      </c>
      <c r="E134" s="1229">
        <f t="shared" si="53"/>
        <v>17.429972046700687</v>
      </c>
      <c r="F134" s="1229">
        <f t="shared" ref="F134:H134" si="60">F19*F116/$F$120</f>
        <v>1.8416039410944247</v>
      </c>
      <c r="G134" s="1229">
        <f t="shared" si="60"/>
        <v>1.8829897135072011</v>
      </c>
      <c r="H134" s="1229">
        <f t="shared" si="60"/>
        <v>1.9253055350581139</v>
      </c>
      <c r="I134" s="1229">
        <f t="shared" ref="I134:X134" si="61">I19*I116/$F$120</f>
        <v>1.9685723064419884</v>
      </c>
      <c r="J134" s="1229">
        <f t="shared" si="61"/>
        <v>2.1427842107658561</v>
      </c>
      <c r="K134" s="1229">
        <f t="shared" si="61"/>
        <v>2.1909383104056226</v>
      </c>
      <c r="L134" s="1229">
        <f t="shared" si="61"/>
        <v>2.2401745616220468</v>
      </c>
      <c r="M134" s="1229">
        <f t="shared" si="61"/>
        <v>2.290517283259081</v>
      </c>
      <c r="N134" s="1229">
        <f t="shared" si="61"/>
        <v>2.3419913406702295</v>
      </c>
      <c r="O134" s="1229">
        <f t="shared" si="61"/>
        <v>2.3946221580000788</v>
      </c>
      <c r="P134" s="1229">
        <f t="shared" si="61"/>
        <v>2.4484357307418323</v>
      </c>
      <c r="Q134" s="1229">
        <f t="shared" si="61"/>
        <v>2.5034586385770394</v>
      </c>
      <c r="R134" s="1229">
        <f t="shared" si="61"/>
        <v>2.5597180585038761</v>
      </c>
      <c r="S134" s="1229">
        <f t="shared" si="61"/>
        <v>2.6172417782604493</v>
      </c>
      <c r="T134" s="1229">
        <f t="shared" si="61"/>
        <v>2.6760582100497565</v>
      </c>
      <c r="U134" s="1229">
        <f t="shared" si="61"/>
        <v>2.7361964045730831</v>
      </c>
      <c r="V134" s="1229">
        <f t="shared" si="61"/>
        <v>3.0192699977435025</v>
      </c>
      <c r="W134" s="1229">
        <f t="shared" si="61"/>
        <v>3.0871210802651219</v>
      </c>
      <c r="X134" s="1230">
        <f t="shared" si="61"/>
        <v>3.1564969583177134</v>
      </c>
      <c r="Y134" s="1064"/>
      <c r="Z134" s="1064"/>
      <c r="AA134" s="1064"/>
      <c r="AB134" s="1064"/>
      <c r="AC134" s="1064"/>
      <c r="AD134" s="1064"/>
      <c r="AE134" s="1064"/>
      <c r="AF134" s="1064"/>
      <c r="AG134" s="1064"/>
    </row>
    <row r="135" spans="1:33" s="1066" customFormat="1" ht="20.100000000000001" customHeight="1" x14ac:dyDescent="0.25">
      <c r="A135" s="1064"/>
      <c r="Y135" s="1064"/>
      <c r="Z135" s="1064"/>
      <c r="AA135" s="1064"/>
      <c r="AB135" s="1064"/>
      <c r="AC135" s="1064"/>
      <c r="AD135" s="1064"/>
      <c r="AE135" s="1064"/>
      <c r="AF135" s="1064"/>
      <c r="AG135" s="1064"/>
    </row>
    <row r="136" spans="1:33" s="1064" customFormat="1" ht="20.100000000000001" customHeight="1" thickBot="1" x14ac:dyDescent="0.45">
      <c r="B136" s="1142"/>
      <c r="C136" s="1142"/>
      <c r="D136" s="1841" t="s">
        <v>497</v>
      </c>
      <c r="E136" s="1841"/>
      <c r="F136" s="1841"/>
      <c r="G136" s="1841"/>
      <c r="H136" s="1841"/>
      <c r="I136" s="1841"/>
      <c r="J136" s="1841"/>
      <c r="K136" s="1841"/>
      <c r="L136" s="1841"/>
      <c r="M136" s="1841"/>
      <c r="N136" s="1841"/>
      <c r="O136" s="1841"/>
      <c r="P136" s="1841"/>
      <c r="Q136" s="1841"/>
      <c r="R136" s="1841"/>
      <c r="S136" s="1841"/>
      <c r="T136" s="1841"/>
      <c r="U136" s="1841"/>
      <c r="V136" s="1841"/>
      <c r="W136" s="1841"/>
      <c r="X136" s="1841"/>
      <c r="Y136" s="1111"/>
      <c r="AG136" s="1143"/>
    </row>
    <row r="137" spans="1:33" s="1066" customFormat="1" ht="20.100000000000001" customHeight="1" thickBot="1" x14ac:dyDescent="0.3">
      <c r="A137" s="1064"/>
      <c r="B137" s="1090"/>
      <c r="C137" s="1197" t="s">
        <v>117</v>
      </c>
      <c r="D137" s="712">
        <v>2023</v>
      </c>
      <c r="E137" s="417">
        <f>D137+1</f>
        <v>2024</v>
      </c>
      <c r="F137" s="417">
        <f t="shared" ref="F137:X137" si="62">E137+1</f>
        <v>2025</v>
      </c>
      <c r="G137" s="417">
        <f t="shared" si="62"/>
        <v>2026</v>
      </c>
      <c r="H137" s="417">
        <f t="shared" si="62"/>
        <v>2027</v>
      </c>
      <c r="I137" s="417">
        <f t="shared" si="62"/>
        <v>2028</v>
      </c>
      <c r="J137" s="417">
        <f t="shared" si="62"/>
        <v>2029</v>
      </c>
      <c r="K137" s="417">
        <f t="shared" si="62"/>
        <v>2030</v>
      </c>
      <c r="L137" s="417">
        <f t="shared" si="62"/>
        <v>2031</v>
      </c>
      <c r="M137" s="417">
        <f t="shared" si="62"/>
        <v>2032</v>
      </c>
      <c r="N137" s="417">
        <f t="shared" si="62"/>
        <v>2033</v>
      </c>
      <c r="O137" s="417">
        <f t="shared" si="62"/>
        <v>2034</v>
      </c>
      <c r="P137" s="417">
        <f t="shared" si="62"/>
        <v>2035</v>
      </c>
      <c r="Q137" s="417">
        <f t="shared" si="62"/>
        <v>2036</v>
      </c>
      <c r="R137" s="417">
        <f t="shared" si="62"/>
        <v>2037</v>
      </c>
      <c r="S137" s="417">
        <f t="shared" si="62"/>
        <v>2038</v>
      </c>
      <c r="T137" s="417">
        <f t="shared" si="62"/>
        <v>2039</v>
      </c>
      <c r="U137" s="417">
        <f t="shared" si="62"/>
        <v>2040</v>
      </c>
      <c r="V137" s="417">
        <f t="shared" si="62"/>
        <v>2041</v>
      </c>
      <c r="W137" s="417">
        <f t="shared" si="62"/>
        <v>2042</v>
      </c>
      <c r="X137" s="713">
        <f t="shared" si="62"/>
        <v>2043</v>
      </c>
      <c r="Y137" s="1064"/>
      <c r="Z137" s="1064"/>
      <c r="AA137" s="1064"/>
      <c r="AB137" s="1064"/>
      <c r="AC137" s="1064"/>
      <c r="AD137" s="1064"/>
      <c r="AE137" s="1064"/>
      <c r="AF137" s="1064"/>
      <c r="AG137" s="1064"/>
    </row>
    <row r="138" spans="1:33" s="1066" customFormat="1" ht="20.100000000000001" customHeight="1" x14ac:dyDescent="0.2">
      <c r="A138" s="1064"/>
      <c r="B138" s="1235" t="s">
        <v>287</v>
      </c>
      <c r="C138" s="1159" t="s">
        <v>62</v>
      </c>
      <c r="D138" s="1237">
        <f t="shared" ref="D138" si="63">D131-D124</f>
        <v>11.222325532276002</v>
      </c>
      <c r="E138" s="1237">
        <f t="shared" ref="E138:X138" si="64">E131-E124</f>
        <v>11.553644930886634</v>
      </c>
      <c r="F138" s="1237">
        <f t="shared" ref="F138:H138" si="65">F131-F124</f>
        <v>1.1997767031513042</v>
      </c>
      <c r="G138" s="1237">
        <f t="shared" si="65"/>
        <v>1.2373061166972548</v>
      </c>
      <c r="H138" s="1237">
        <f t="shared" si="65"/>
        <v>1.275437955949263</v>
      </c>
      <c r="I138" s="1237">
        <f t="shared" si="64"/>
        <v>1.687505874436166</v>
      </c>
      <c r="J138" s="1237">
        <f t="shared" si="64"/>
        <v>1.3233805262838398</v>
      </c>
      <c r="K138" s="1237">
        <f t="shared" si="64"/>
        <v>1.3638898366169805</v>
      </c>
      <c r="L138" s="1237">
        <f t="shared" si="64"/>
        <v>1.4050469155778327</v>
      </c>
      <c r="M138" s="1237">
        <f t="shared" si="64"/>
        <v>1.4468604209878766</v>
      </c>
      <c r="N138" s="1237">
        <f t="shared" si="64"/>
        <v>1.4893391170400569</v>
      </c>
      <c r="O138" s="1237">
        <f t="shared" si="64"/>
        <v>0.1534640529974638</v>
      </c>
      <c r="P138" s="1237">
        <f t="shared" si="64"/>
        <v>0.18571077071159614</v>
      </c>
      <c r="Q138" s="1237">
        <f t="shared" si="64"/>
        <v>0.2185522299739926</v>
      </c>
      <c r="R138" s="1237">
        <f t="shared" si="64"/>
        <v>0.69891270274249528</v>
      </c>
      <c r="S138" s="1237">
        <f t="shared" si="64"/>
        <v>0.73764271516682989</v>
      </c>
      <c r="T138" s="1237">
        <f t="shared" si="64"/>
        <v>0.77704181779749781</v>
      </c>
      <c r="U138" s="1237">
        <f t="shared" si="64"/>
        <v>0.81711922699393646</v>
      </c>
      <c r="V138" s="1237">
        <f t="shared" si="64"/>
        <v>-1.8178187084094901</v>
      </c>
      <c r="W138" s="1237">
        <f t="shared" si="64"/>
        <v>-1.7988426674724849</v>
      </c>
      <c r="X138" s="1237">
        <f t="shared" si="64"/>
        <v>-1.7793489440227255</v>
      </c>
      <c r="Y138" s="1064"/>
      <c r="Z138" s="1064"/>
      <c r="AA138" s="1064"/>
      <c r="AB138" s="1064"/>
      <c r="AC138" s="1064"/>
      <c r="AD138" s="1064"/>
      <c r="AE138" s="1064"/>
      <c r="AF138" s="1064"/>
      <c r="AG138" s="1064"/>
    </row>
    <row r="139" spans="1:33" s="1066" customFormat="1" ht="20.100000000000001" customHeight="1" x14ac:dyDescent="0.2">
      <c r="A139" s="1064"/>
      <c r="B139" s="1238" t="s">
        <v>288</v>
      </c>
      <c r="C139" s="1165" t="s">
        <v>62</v>
      </c>
      <c r="D139" s="1240">
        <f t="shared" ref="D139" si="66">D132-D125</f>
        <v>6.2042254904017256</v>
      </c>
      <c r="E139" s="1240">
        <f t="shared" ref="E139:X139" si="67">E132-E125</f>
        <v>6.3310868370727533</v>
      </c>
      <c r="F139" s="1240">
        <f t="shared" ref="F139:H139" si="68">F132-F125</f>
        <v>0.65310150755887797</v>
      </c>
      <c r="G139" s="1240">
        <f t="shared" si="68"/>
        <v>0.66752612327398619</v>
      </c>
      <c r="H139" s="1240">
        <f t="shared" si="68"/>
        <v>0.6820000711604548</v>
      </c>
      <c r="I139" s="1240">
        <f t="shared" si="67"/>
        <v>0.89155130566484608</v>
      </c>
      <c r="J139" s="1240">
        <f t="shared" si="67"/>
        <v>0.6957654458273872</v>
      </c>
      <c r="K139" s="1240">
        <f t="shared" si="67"/>
        <v>0.71075710900007216</v>
      </c>
      <c r="L139" s="1240">
        <f t="shared" si="67"/>
        <v>0.72580000721834015</v>
      </c>
      <c r="M139" s="1240">
        <f t="shared" si="67"/>
        <v>0.74089428853642314</v>
      </c>
      <c r="N139" s="1240">
        <f t="shared" si="67"/>
        <v>0.75604010141941025</v>
      </c>
      <c r="O139" s="1240">
        <f t="shared" si="67"/>
        <v>8.3927619023673294E-2</v>
      </c>
      <c r="P139" s="1240">
        <f t="shared" si="67"/>
        <v>9.8637615161456083E-2</v>
      </c>
      <c r="Q139" s="1240">
        <f t="shared" si="67"/>
        <v>0.11339916753016066</v>
      </c>
      <c r="R139" s="1240">
        <f t="shared" si="67"/>
        <v>0.34610169561732018</v>
      </c>
      <c r="S139" s="1240">
        <f t="shared" si="67"/>
        <v>0.36156216735456415</v>
      </c>
      <c r="T139" s="1240">
        <f t="shared" si="67"/>
        <v>0.37707627268023725</v>
      </c>
      <c r="U139" s="1240">
        <f t="shared" si="67"/>
        <v>0.39264416707926575</v>
      </c>
      <c r="V139" s="1240">
        <f t="shared" si="67"/>
        <v>-0.85635608071294467</v>
      </c>
      <c r="W139" s="1240">
        <f t="shared" si="67"/>
        <v>-0.8416724793337238</v>
      </c>
      <c r="X139" s="1240">
        <f t="shared" si="67"/>
        <v>-0.82693539851165099</v>
      </c>
      <c r="Y139" s="1064"/>
      <c r="Z139" s="1064"/>
      <c r="AA139" s="1064"/>
      <c r="AB139" s="1064"/>
      <c r="AC139" s="1064"/>
      <c r="AD139" s="1064"/>
      <c r="AE139" s="1064"/>
      <c r="AF139" s="1064"/>
      <c r="AG139" s="1064"/>
    </row>
    <row r="140" spans="1:33" s="1066" customFormat="1" ht="20.100000000000001" customHeight="1" x14ac:dyDescent="0.2">
      <c r="A140" s="1064"/>
      <c r="B140" s="1238" t="s">
        <v>289</v>
      </c>
      <c r="C140" s="1165" t="s">
        <v>62</v>
      </c>
      <c r="D140" s="1240">
        <f t="shared" ref="D140" si="69">D133-D126</f>
        <v>3.6965323347490582</v>
      </c>
      <c r="E140" s="1240">
        <f t="shared" ref="E140:X140" si="70">E133-E126</f>
        <v>3.8053154243509866</v>
      </c>
      <c r="F140" s="1240">
        <f t="shared" ref="F140:H140" si="71">F133-F126</f>
        <v>0.39516364957388372</v>
      </c>
      <c r="G140" s="1240">
        <f t="shared" si="71"/>
        <v>0.40748618056133701</v>
      </c>
      <c r="H140" s="1240">
        <f t="shared" si="71"/>
        <v>0.42000469719947908</v>
      </c>
      <c r="I140" s="1240">
        <f t="shared" si="70"/>
        <v>0.55554096887762228</v>
      </c>
      <c r="J140" s="1240">
        <f t="shared" si="70"/>
        <v>0.43573110202606014</v>
      </c>
      <c r="K140" s="1240">
        <f t="shared" si="70"/>
        <v>0.44902616244296389</v>
      </c>
      <c r="L140" s="1240">
        <f t="shared" si="70"/>
        <v>0.46253186936948598</v>
      </c>
      <c r="M140" s="1240">
        <f t="shared" si="70"/>
        <v>0.47625101048336127</v>
      </c>
      <c r="N140" s="1240">
        <f t="shared" si="70"/>
        <v>0.49018640736915575</v>
      </c>
      <c r="O140" s="1240">
        <f t="shared" si="70"/>
        <v>5.0970945968436432E-2</v>
      </c>
      <c r="P140" s="1240">
        <f t="shared" si="70"/>
        <v>6.1582880249605232E-2</v>
      </c>
      <c r="Q140" s="1240">
        <f t="shared" si="70"/>
        <v>7.2388483131342163E-2</v>
      </c>
      <c r="R140" s="1240">
        <f t="shared" si="70"/>
        <v>0.23029129660505898</v>
      </c>
      <c r="S140" s="1240">
        <f t="shared" si="70"/>
        <v>0.24301422594599043</v>
      </c>
      <c r="T140" s="1240">
        <f t="shared" si="70"/>
        <v>0.25595479637574137</v>
      </c>
      <c r="U140" s="1240">
        <f t="shared" si="70"/>
        <v>0.26911597532969633</v>
      </c>
      <c r="V140" s="1240">
        <f t="shared" si="70"/>
        <v>-0.59655279268027339</v>
      </c>
      <c r="W140" s="1240">
        <f t="shared" si="70"/>
        <v>-0.59024060528448175</v>
      </c>
      <c r="X140" s="1240">
        <f t="shared" si="70"/>
        <v>-0.58375929507147717</v>
      </c>
      <c r="Y140" s="1064"/>
      <c r="Z140" s="1064"/>
      <c r="AA140" s="1064"/>
      <c r="AB140" s="1064"/>
      <c r="AC140" s="1064"/>
      <c r="AD140" s="1064"/>
      <c r="AE140" s="1064"/>
      <c r="AF140" s="1064"/>
      <c r="AG140" s="1064"/>
    </row>
    <row r="141" spans="1:33" s="1066" customFormat="1" ht="20.100000000000001" customHeight="1" thickBot="1" x14ac:dyDescent="0.25">
      <c r="A141" s="1064"/>
      <c r="B141" s="1241" t="s">
        <v>140</v>
      </c>
      <c r="C141" s="1167" t="s">
        <v>62</v>
      </c>
      <c r="D141" s="1243">
        <f t="shared" ref="D141" si="72">D134-D127</f>
        <v>-3.0027202460857616</v>
      </c>
      <c r="E141" s="1243">
        <f t="shared" ref="E141:X141" si="73">E134-E127</f>
        <v>-4.5329268303732775</v>
      </c>
      <c r="F141" s="1243">
        <f t="shared" ref="F141:H141" si="74">F134-F127</f>
        <v>-0.40741721304203882</v>
      </c>
      <c r="G141" s="1243">
        <f t="shared" si="74"/>
        <v>-0.38076822513275355</v>
      </c>
      <c r="H141" s="1243">
        <f t="shared" si="74"/>
        <v>-0.35328575134668827</v>
      </c>
      <c r="I141" s="1243">
        <f t="shared" si="73"/>
        <v>-0.32494952372293784</v>
      </c>
      <c r="J141" s="1243">
        <f t="shared" si="73"/>
        <v>-0.49622626891399602</v>
      </c>
      <c r="K141" s="1243">
        <f t="shared" si="73"/>
        <v>-0.46536437155964094</v>
      </c>
      <c r="L141" s="1243">
        <f t="shared" si="73"/>
        <v>-0.43353363034838965</v>
      </c>
      <c r="M141" s="1243">
        <f t="shared" si="73"/>
        <v>-0.40071046888882123</v>
      </c>
      <c r="N141" s="1243">
        <f t="shared" si="73"/>
        <v>-0.36687076914490735</v>
      </c>
      <c r="O141" s="1243">
        <f t="shared" si="73"/>
        <v>-0.61454703051278869</v>
      </c>
      <c r="P141" s="1243">
        <f t="shared" si="73"/>
        <v>-0.58045113707524987</v>
      </c>
      <c r="Q141" s="1243">
        <f t="shared" si="73"/>
        <v>-0.54527510928133527</v>
      </c>
      <c r="R141" s="1243">
        <f t="shared" si="73"/>
        <v>-0.50899261672491303</v>
      </c>
      <c r="S141" s="1243">
        <f t="shared" si="73"/>
        <v>-0.47157672380724414</v>
      </c>
      <c r="T141" s="1243">
        <f t="shared" si="73"/>
        <v>-0.43299987604837042</v>
      </c>
      <c r="U141" s="1243">
        <f t="shared" si="73"/>
        <v>-0.84537592307811282</v>
      </c>
      <c r="V141" s="1243">
        <f t="shared" si="73"/>
        <v>-0.58577069946001492</v>
      </c>
      <c r="W141" s="1243">
        <f t="shared" si="73"/>
        <v>-0.5415417637480382</v>
      </c>
      <c r="X141" s="1243">
        <f t="shared" si="73"/>
        <v>-0.49594281739290746</v>
      </c>
      <c r="Y141" s="1064"/>
      <c r="Z141" s="1064"/>
      <c r="AA141" s="1064"/>
      <c r="AB141" s="1064"/>
      <c r="AC141" s="1064"/>
      <c r="AD141" s="1064"/>
      <c r="AE141" s="1064"/>
      <c r="AF141" s="1064"/>
      <c r="AG141" s="1064"/>
    </row>
    <row r="142" spans="1:33" s="1066" customFormat="1" ht="20.100000000000001" customHeight="1" x14ac:dyDescent="0.25">
      <c r="A142" s="1064"/>
      <c r="Y142" s="1064"/>
      <c r="Z142" s="1064"/>
      <c r="AA142" s="1064"/>
      <c r="AB142" s="1064"/>
      <c r="AC142" s="1064"/>
      <c r="AD142" s="1064"/>
      <c r="AE142" s="1064"/>
      <c r="AF142" s="1064"/>
      <c r="AG142" s="1064"/>
    </row>
    <row r="143" spans="1:33" s="1066" customFormat="1" ht="20.100000000000001" customHeight="1" x14ac:dyDescent="0.25">
      <c r="A143" s="1064"/>
      <c r="Y143" s="1064"/>
      <c r="Z143" s="1064"/>
      <c r="AA143" s="1064"/>
      <c r="AB143" s="1064"/>
      <c r="AC143" s="1064"/>
      <c r="AD143" s="1064"/>
      <c r="AE143" s="1064"/>
      <c r="AF143" s="1064"/>
      <c r="AG143" s="1064"/>
    </row>
    <row r="144" spans="1:33" s="1066" customFormat="1" ht="25.5" customHeight="1" x14ac:dyDescent="0.25">
      <c r="A144" s="1064"/>
      <c r="B144" s="1244" t="s">
        <v>870</v>
      </c>
      <c r="C144" s="1244"/>
      <c r="D144" s="1244"/>
      <c r="E144" s="1244"/>
      <c r="F144" s="1244"/>
      <c r="G144" s="1244"/>
      <c r="H144" s="1244"/>
      <c r="I144" s="1244"/>
      <c r="J144" s="1244"/>
      <c r="K144" s="1244"/>
      <c r="L144" s="1244"/>
      <c r="M144" s="1244"/>
      <c r="N144" s="1244"/>
      <c r="O144" s="1244"/>
      <c r="P144" s="1244"/>
      <c r="Q144" s="1244"/>
      <c r="R144" s="1244"/>
      <c r="S144" s="1244"/>
      <c r="T144" s="1244"/>
      <c r="U144" s="1244"/>
      <c r="V144" s="1244"/>
      <c r="W144" s="1244"/>
      <c r="X144" s="1244"/>
      <c r="Y144" s="1064"/>
      <c r="Z144" s="1064"/>
      <c r="AA144" s="1064"/>
      <c r="AB144" s="1064"/>
      <c r="AC144" s="1064"/>
      <c r="AD144" s="1064"/>
      <c r="AE144" s="1064"/>
      <c r="AF144" s="1064"/>
      <c r="AG144" s="1064"/>
    </row>
    <row r="145" spans="1:36" s="1066" customFormat="1" ht="20.100000000000001" customHeight="1" thickBot="1" x14ac:dyDescent="0.45">
      <c r="A145" s="1064"/>
      <c r="B145" s="1105"/>
      <c r="C145" s="1105"/>
      <c r="D145" s="1105"/>
      <c r="E145" s="1105"/>
      <c r="F145" s="1105"/>
      <c r="G145" s="1105"/>
      <c r="H145" s="1105"/>
      <c r="I145" s="1105"/>
      <c r="J145" s="1105"/>
      <c r="Y145" s="1064"/>
      <c r="Z145" s="1064"/>
      <c r="AA145" s="1064"/>
      <c r="AB145" s="1064"/>
      <c r="AC145" s="1064"/>
      <c r="AD145" s="1064"/>
      <c r="AE145" s="1064"/>
      <c r="AF145" s="1064"/>
      <c r="AG145" s="1064"/>
    </row>
    <row r="146" spans="1:36" s="1064" customFormat="1" ht="22.5" customHeight="1" thickBot="1" x14ac:dyDescent="0.3">
      <c r="B146" s="1150" t="s">
        <v>498</v>
      </c>
      <c r="C146" s="1151"/>
      <c r="D146" s="1152"/>
      <c r="E146" s="1152"/>
      <c r="F146" s="1245">
        <f>Rates!E76</f>
        <v>1872</v>
      </c>
      <c r="H146" s="1154"/>
      <c r="I146" s="1154"/>
      <c r="J146" s="1154"/>
      <c r="K146" s="1154"/>
      <c r="L146" s="1154"/>
      <c r="M146" s="1154"/>
      <c r="N146" s="1154"/>
      <c r="O146" s="1154"/>
      <c r="P146" s="1154"/>
      <c r="Q146" s="1154"/>
      <c r="R146" s="1154"/>
      <c r="S146" s="1154"/>
      <c r="T146" s="1154"/>
      <c r="U146" s="1154"/>
      <c r="V146" s="1154"/>
      <c r="W146" s="1154"/>
      <c r="X146" s="1154"/>
      <c r="Y146" s="1154"/>
      <c r="Z146" s="1154"/>
      <c r="AA146" s="1154"/>
    </row>
    <row r="147" spans="1:36" s="1066" customFormat="1" ht="20.100000000000001" customHeight="1" x14ac:dyDescent="0.25">
      <c r="A147" s="1064"/>
      <c r="B147" s="1066" t="s">
        <v>324</v>
      </c>
      <c r="C147" s="1155"/>
      <c r="D147" s="1155"/>
      <c r="E147" s="1155"/>
      <c r="F147" s="1246"/>
      <c r="H147" s="1155"/>
      <c r="I147" s="1154"/>
      <c r="J147" s="1154"/>
      <c r="K147" s="1154"/>
      <c r="L147" s="1154"/>
      <c r="M147" s="1154"/>
      <c r="N147" s="1154"/>
      <c r="O147" s="1154"/>
      <c r="P147" s="1154"/>
      <c r="Q147" s="1154"/>
      <c r="R147" s="1154"/>
      <c r="S147" s="1154"/>
      <c r="T147" s="1154"/>
      <c r="U147" s="1154"/>
      <c r="V147" s="1154"/>
      <c r="W147" s="1154"/>
      <c r="X147" s="1154"/>
      <c r="Y147" s="1154"/>
      <c r="Z147" s="1154"/>
      <c r="AA147" s="1154"/>
      <c r="AB147" s="1064"/>
      <c r="AC147" s="1064"/>
      <c r="AD147" s="1064"/>
      <c r="AE147" s="1064"/>
      <c r="AF147" s="1064"/>
      <c r="AG147" s="1064"/>
    </row>
    <row r="148" spans="1:36" s="1066" customFormat="1" ht="20.100000000000001" customHeight="1" thickBot="1" x14ac:dyDescent="0.3">
      <c r="A148" s="1064"/>
      <c r="D148" s="1156"/>
      <c r="G148" s="1157"/>
      <c r="H148" s="1157"/>
      <c r="I148" s="1157"/>
      <c r="J148" s="1157"/>
      <c r="K148" s="1157"/>
      <c r="L148" s="1157"/>
      <c r="M148" s="1157"/>
      <c r="N148" s="1157"/>
      <c r="O148" s="1157"/>
      <c r="P148" s="1157"/>
      <c r="Q148" s="1157"/>
      <c r="R148" s="1157"/>
      <c r="S148" s="1157"/>
      <c r="T148" s="1157"/>
      <c r="U148" s="1157"/>
      <c r="V148" s="1157"/>
      <c r="W148" s="1157"/>
      <c r="X148" s="1157"/>
      <c r="Y148" s="1157"/>
      <c r="Z148" s="1157"/>
      <c r="AA148" s="1157"/>
    </row>
    <row r="149" spans="1:36" s="1066" customFormat="1" ht="20.100000000000001" customHeight="1" thickBot="1" x14ac:dyDescent="0.3">
      <c r="A149" s="1064"/>
      <c r="B149" s="1064"/>
      <c r="C149" s="1193" t="s">
        <v>117</v>
      </c>
      <c r="D149" s="712">
        <v>2023</v>
      </c>
      <c r="E149" s="417">
        <f>D149+1</f>
        <v>2024</v>
      </c>
      <c r="F149" s="417">
        <f t="shared" ref="F149:X149" si="75">E149+1</f>
        <v>2025</v>
      </c>
      <c r="G149" s="417">
        <f t="shared" si="75"/>
        <v>2026</v>
      </c>
      <c r="H149" s="417">
        <f t="shared" si="75"/>
        <v>2027</v>
      </c>
      <c r="I149" s="417">
        <f t="shared" si="75"/>
        <v>2028</v>
      </c>
      <c r="J149" s="417">
        <f t="shared" si="75"/>
        <v>2029</v>
      </c>
      <c r="K149" s="417">
        <f t="shared" si="75"/>
        <v>2030</v>
      </c>
      <c r="L149" s="417">
        <f t="shared" si="75"/>
        <v>2031</v>
      </c>
      <c r="M149" s="417">
        <f t="shared" si="75"/>
        <v>2032</v>
      </c>
      <c r="N149" s="417">
        <f t="shared" si="75"/>
        <v>2033</v>
      </c>
      <c r="O149" s="417">
        <f t="shared" si="75"/>
        <v>2034</v>
      </c>
      <c r="P149" s="417">
        <f t="shared" si="75"/>
        <v>2035</v>
      </c>
      <c r="Q149" s="417">
        <f t="shared" si="75"/>
        <v>2036</v>
      </c>
      <c r="R149" s="417">
        <f t="shared" si="75"/>
        <v>2037</v>
      </c>
      <c r="S149" s="417">
        <f t="shared" si="75"/>
        <v>2038</v>
      </c>
      <c r="T149" s="417">
        <f t="shared" si="75"/>
        <v>2039</v>
      </c>
      <c r="U149" s="417">
        <f t="shared" si="75"/>
        <v>2040</v>
      </c>
      <c r="V149" s="417">
        <f t="shared" si="75"/>
        <v>2041</v>
      </c>
      <c r="W149" s="417">
        <f t="shared" si="75"/>
        <v>2042</v>
      </c>
      <c r="X149" s="713">
        <f t="shared" si="75"/>
        <v>2043</v>
      </c>
    </row>
    <row r="150" spans="1:36" s="1066" customFormat="1" ht="20.100000000000001" customHeight="1" x14ac:dyDescent="0.2">
      <c r="A150" s="1064"/>
      <c r="B150" s="1158" t="s">
        <v>394</v>
      </c>
      <c r="C150" s="1171" t="s">
        <v>62</v>
      </c>
      <c r="D150" s="1166">
        <f>$F$146*D138</f>
        <v>21008.193396420676</v>
      </c>
      <c r="E150" s="1162">
        <f t="shared" ref="E150:X150" si="76">$F$146*E138</f>
        <v>21628.423310619779</v>
      </c>
      <c r="F150" s="1162">
        <f t="shared" si="76"/>
        <v>2245.9819882992415</v>
      </c>
      <c r="G150" s="1162">
        <f t="shared" si="76"/>
        <v>2316.2370504572609</v>
      </c>
      <c r="H150" s="1162">
        <f t="shared" si="76"/>
        <v>2387.6198535370204</v>
      </c>
      <c r="I150" s="1162">
        <f t="shared" si="76"/>
        <v>3159.0109969445025</v>
      </c>
      <c r="J150" s="1162">
        <f t="shared" si="76"/>
        <v>2477.3683452033483</v>
      </c>
      <c r="K150" s="1162">
        <f t="shared" si="76"/>
        <v>2553.2017741469876</v>
      </c>
      <c r="L150" s="1162">
        <f t="shared" si="76"/>
        <v>2630.2478259617028</v>
      </c>
      <c r="M150" s="1162">
        <f t="shared" si="76"/>
        <v>2708.5227080893051</v>
      </c>
      <c r="N150" s="1162">
        <f t="shared" si="76"/>
        <v>2788.0428270989864</v>
      </c>
      <c r="O150" s="1162">
        <f t="shared" si="76"/>
        <v>287.28470721125223</v>
      </c>
      <c r="P150" s="1162">
        <f t="shared" si="76"/>
        <v>347.65056277210795</v>
      </c>
      <c r="Q150" s="1162">
        <f t="shared" si="76"/>
        <v>409.12977451131417</v>
      </c>
      <c r="R150" s="1162">
        <f t="shared" si="76"/>
        <v>1308.3645795339512</v>
      </c>
      <c r="S150" s="1162">
        <f t="shared" si="76"/>
        <v>1380.8671627923056</v>
      </c>
      <c r="T150" s="1162">
        <f t="shared" si="76"/>
        <v>1454.622282916916</v>
      </c>
      <c r="U150" s="1162">
        <f t="shared" si="76"/>
        <v>1529.647192932649</v>
      </c>
      <c r="V150" s="1162">
        <f t="shared" si="76"/>
        <v>-3402.9566221425657</v>
      </c>
      <c r="W150" s="1162">
        <f t="shared" si="76"/>
        <v>-3367.4334735084917</v>
      </c>
      <c r="X150" s="1163">
        <f t="shared" si="76"/>
        <v>-3330.9412232105419</v>
      </c>
      <c r="AG150" s="1067"/>
    </row>
    <row r="151" spans="1:36" s="1066" customFormat="1" ht="20.100000000000001" customHeight="1" x14ac:dyDescent="0.2">
      <c r="A151" s="1064"/>
      <c r="B151" s="1164" t="s">
        <v>467</v>
      </c>
      <c r="C151" s="1172" t="s">
        <v>62</v>
      </c>
      <c r="D151" s="1166">
        <f>$F$146*D139</f>
        <v>11614.31011803203</v>
      </c>
      <c r="E151" s="1162">
        <f t="shared" ref="E151:X151" si="77">$F$146*E139</f>
        <v>11851.794559000195</v>
      </c>
      <c r="F151" s="1162">
        <f t="shared" si="77"/>
        <v>1222.6060221502196</v>
      </c>
      <c r="G151" s="1162">
        <f t="shared" si="77"/>
        <v>1249.6089027689022</v>
      </c>
      <c r="H151" s="1162">
        <f t="shared" si="77"/>
        <v>1276.7041332123713</v>
      </c>
      <c r="I151" s="1162">
        <f t="shared" si="77"/>
        <v>1668.9840442045918</v>
      </c>
      <c r="J151" s="1162">
        <f t="shared" si="77"/>
        <v>1302.4729145888689</v>
      </c>
      <c r="K151" s="1162">
        <f t="shared" si="77"/>
        <v>1330.5373080481352</v>
      </c>
      <c r="L151" s="1162">
        <f t="shared" si="77"/>
        <v>1358.6976135127327</v>
      </c>
      <c r="M151" s="1162">
        <f t="shared" si="77"/>
        <v>1386.9541081401842</v>
      </c>
      <c r="N151" s="1162">
        <f t="shared" si="77"/>
        <v>1415.307069857136</v>
      </c>
      <c r="O151" s="1162">
        <f t="shared" si="77"/>
        <v>157.11250281231639</v>
      </c>
      <c r="P151" s="1162">
        <f t="shared" si="77"/>
        <v>184.64961558224579</v>
      </c>
      <c r="Q151" s="1162">
        <f t="shared" si="77"/>
        <v>212.28324161646077</v>
      </c>
      <c r="R151" s="1162">
        <f t="shared" si="77"/>
        <v>647.90237419562334</v>
      </c>
      <c r="S151" s="1162">
        <f t="shared" si="77"/>
        <v>676.84437728774412</v>
      </c>
      <c r="T151" s="1162">
        <f t="shared" si="77"/>
        <v>705.88678245740414</v>
      </c>
      <c r="U151" s="1162">
        <f t="shared" si="77"/>
        <v>735.02988077238547</v>
      </c>
      <c r="V151" s="1162">
        <f t="shared" si="77"/>
        <v>-1603.0985830946324</v>
      </c>
      <c r="W151" s="1162">
        <f t="shared" si="77"/>
        <v>-1575.610881312731</v>
      </c>
      <c r="X151" s="1163">
        <f t="shared" si="77"/>
        <v>-1548.0230660138106</v>
      </c>
      <c r="AG151" s="1067"/>
    </row>
    <row r="152" spans="1:36" s="1066" customFormat="1" ht="20.100000000000001" customHeight="1" x14ac:dyDescent="0.2">
      <c r="A152" s="1064"/>
      <c r="B152" s="1158" t="s">
        <v>396</v>
      </c>
      <c r="C152" s="1172" t="s">
        <v>62</v>
      </c>
      <c r="D152" s="1166">
        <f>$F$146*D140</f>
        <v>6919.9085306502366</v>
      </c>
      <c r="E152" s="1162">
        <f t="shared" ref="E152:X152" si="78">$F$146*E140</f>
        <v>7123.550474385047</v>
      </c>
      <c r="F152" s="1162">
        <f t="shared" si="78"/>
        <v>739.74635200231035</v>
      </c>
      <c r="G152" s="1162">
        <f t="shared" si="78"/>
        <v>762.81413001082285</v>
      </c>
      <c r="H152" s="1162">
        <f t="shared" si="78"/>
        <v>786.24879315742487</v>
      </c>
      <c r="I152" s="1162">
        <f t="shared" si="78"/>
        <v>1039.9726937389089</v>
      </c>
      <c r="J152" s="1162">
        <f t="shared" si="78"/>
        <v>815.68862299278453</v>
      </c>
      <c r="K152" s="1162">
        <f t="shared" si="78"/>
        <v>840.57697609322838</v>
      </c>
      <c r="L152" s="1162">
        <f t="shared" si="78"/>
        <v>865.8596594596778</v>
      </c>
      <c r="M152" s="1162">
        <f t="shared" si="78"/>
        <v>891.54189162485227</v>
      </c>
      <c r="N152" s="1162">
        <f t="shared" si="78"/>
        <v>917.62895459505955</v>
      </c>
      <c r="O152" s="1162">
        <f t="shared" si="78"/>
        <v>95.417610852913</v>
      </c>
      <c r="P152" s="1162">
        <f t="shared" si="78"/>
        <v>115.28315182726099</v>
      </c>
      <c r="Q152" s="1162">
        <f t="shared" si="78"/>
        <v>135.51124042187251</v>
      </c>
      <c r="R152" s="1162">
        <f t="shared" si="78"/>
        <v>431.10530724467043</v>
      </c>
      <c r="S152" s="1162">
        <f t="shared" si="78"/>
        <v>454.92263097089409</v>
      </c>
      <c r="T152" s="1162">
        <f t="shared" si="78"/>
        <v>479.14737881538781</v>
      </c>
      <c r="U152" s="1162">
        <f t="shared" si="78"/>
        <v>503.78510581719155</v>
      </c>
      <c r="V152" s="1162">
        <f t="shared" si="78"/>
        <v>-1116.7468278974718</v>
      </c>
      <c r="W152" s="1162">
        <f t="shared" si="78"/>
        <v>-1104.9304130925498</v>
      </c>
      <c r="X152" s="1163">
        <f t="shared" si="78"/>
        <v>-1092.7974003738052</v>
      </c>
      <c r="AG152" s="1067"/>
    </row>
    <row r="153" spans="1:36" s="1066" customFormat="1" ht="20.100000000000001" customHeight="1" x14ac:dyDescent="0.2">
      <c r="A153" s="1064"/>
      <c r="B153" s="1158" t="s">
        <v>140</v>
      </c>
      <c r="C153" s="1172" t="s">
        <v>62</v>
      </c>
      <c r="D153" s="1166">
        <f>$F$146*D141</f>
        <v>-5621.0923006725461</v>
      </c>
      <c r="E153" s="1162">
        <f t="shared" ref="E153:X153" si="79">$F$146*E141</f>
        <v>-8485.6390264587753</v>
      </c>
      <c r="F153" s="1162">
        <f t="shared" si="79"/>
        <v>-762.68502281469671</v>
      </c>
      <c r="G153" s="1162">
        <f t="shared" si="79"/>
        <v>-712.79811744851463</v>
      </c>
      <c r="H153" s="1162">
        <f t="shared" si="79"/>
        <v>-661.35092652100047</v>
      </c>
      <c r="I153" s="1162">
        <f t="shared" si="79"/>
        <v>-608.30550840933961</v>
      </c>
      <c r="J153" s="1162">
        <f t="shared" si="79"/>
        <v>-928.93557540700056</v>
      </c>
      <c r="K153" s="1162">
        <f t="shared" si="79"/>
        <v>-871.1621035596479</v>
      </c>
      <c r="L153" s="1162">
        <f t="shared" si="79"/>
        <v>-811.57495601218545</v>
      </c>
      <c r="M153" s="1162">
        <f t="shared" si="79"/>
        <v>-750.12999775987328</v>
      </c>
      <c r="N153" s="1162">
        <f t="shared" si="79"/>
        <v>-686.78207983926654</v>
      </c>
      <c r="O153" s="1162">
        <f t="shared" si="79"/>
        <v>-1150.4320411199405</v>
      </c>
      <c r="P153" s="1162">
        <f t="shared" si="79"/>
        <v>-1086.6045286048677</v>
      </c>
      <c r="Q153" s="1162">
        <f t="shared" si="79"/>
        <v>-1020.7550045746597</v>
      </c>
      <c r="R153" s="1162">
        <f t="shared" si="79"/>
        <v>-952.8341785090372</v>
      </c>
      <c r="S153" s="1162">
        <f t="shared" si="79"/>
        <v>-882.79162696716105</v>
      </c>
      <c r="T153" s="1162">
        <f t="shared" si="79"/>
        <v>-810.57576796254943</v>
      </c>
      <c r="U153" s="1162">
        <f t="shared" si="79"/>
        <v>-1582.5437280022272</v>
      </c>
      <c r="V153" s="1162">
        <f t="shared" si="79"/>
        <v>-1096.5627493891479</v>
      </c>
      <c r="W153" s="1162">
        <f t="shared" si="79"/>
        <v>-1013.7661817363276</v>
      </c>
      <c r="X153" s="1163">
        <f t="shared" si="79"/>
        <v>-928.40495415952273</v>
      </c>
      <c r="AG153" s="1067"/>
    </row>
    <row r="154" spans="1:36" s="1066" customFormat="1" ht="20.100000000000001" customHeight="1" thickBot="1" x14ac:dyDescent="0.25">
      <c r="A154" s="1064"/>
      <c r="B154" s="1158" t="s">
        <v>5</v>
      </c>
      <c r="C154" s="1173" t="s">
        <v>62</v>
      </c>
      <c r="D154" s="1168">
        <f>SUM(D150:D153)</f>
        <v>33921.319744430395</v>
      </c>
      <c r="E154" s="1169">
        <f t="shared" ref="E154:X154" si="80">SUM(E150:E153)</f>
        <v>32118.129317546242</v>
      </c>
      <c r="F154" s="1169">
        <f t="shared" si="80"/>
        <v>3445.6493396370743</v>
      </c>
      <c r="G154" s="1169">
        <f t="shared" si="80"/>
        <v>3615.861965788471</v>
      </c>
      <c r="H154" s="1169">
        <f t="shared" si="80"/>
        <v>3789.2218533858158</v>
      </c>
      <c r="I154" s="1169">
        <f t="shared" si="80"/>
        <v>5259.6622264786638</v>
      </c>
      <c r="J154" s="1169">
        <f t="shared" si="80"/>
        <v>3666.5943073780013</v>
      </c>
      <c r="K154" s="1169">
        <f t="shared" si="80"/>
        <v>3853.153954728703</v>
      </c>
      <c r="L154" s="1169">
        <f t="shared" si="80"/>
        <v>4043.2301429219274</v>
      </c>
      <c r="M154" s="1169">
        <f t="shared" si="80"/>
        <v>4236.8887100944685</v>
      </c>
      <c r="N154" s="1169">
        <f t="shared" si="80"/>
        <v>4434.1967717119151</v>
      </c>
      <c r="O154" s="1169">
        <f t="shared" si="80"/>
        <v>-610.61722024345897</v>
      </c>
      <c r="P154" s="1169">
        <f t="shared" si="80"/>
        <v>-439.02119842325294</v>
      </c>
      <c r="Q154" s="1169">
        <f t="shared" si="80"/>
        <v>-263.83074802501221</v>
      </c>
      <c r="R154" s="1169">
        <f t="shared" si="80"/>
        <v>1434.5380824652077</v>
      </c>
      <c r="S154" s="1169">
        <f t="shared" si="80"/>
        <v>1629.8425440837832</v>
      </c>
      <c r="T154" s="1169">
        <f t="shared" si="80"/>
        <v>1829.0806762271586</v>
      </c>
      <c r="U154" s="1169">
        <f t="shared" si="80"/>
        <v>1185.9184515199988</v>
      </c>
      <c r="V154" s="1169">
        <f t="shared" si="80"/>
        <v>-7219.3647825238186</v>
      </c>
      <c r="W154" s="1169">
        <f t="shared" si="80"/>
        <v>-7061.7409496501004</v>
      </c>
      <c r="X154" s="1170">
        <f t="shared" si="80"/>
        <v>-6900.1666437576805</v>
      </c>
      <c r="AG154" s="1067"/>
    </row>
    <row r="155" spans="1:36" s="1066" customFormat="1" ht="20.100000000000001" customHeight="1" thickBot="1" x14ac:dyDescent="0.25">
      <c r="A155" s="1064"/>
      <c r="B155" s="1136"/>
      <c r="C155" s="1095"/>
      <c r="D155" s="1146"/>
      <c r="E155" s="1146"/>
      <c r="F155" s="1146"/>
      <c r="G155" s="1146"/>
      <c r="H155" s="1146"/>
      <c r="I155" s="1146"/>
      <c r="J155" s="1146"/>
      <c r="K155" s="1146"/>
      <c r="L155" s="1146"/>
      <c r="M155" s="1146"/>
      <c r="N155" s="1146"/>
      <c r="O155" s="1146"/>
      <c r="P155" s="1146"/>
      <c r="Q155" s="1146"/>
      <c r="R155" s="1146"/>
      <c r="S155" s="1146"/>
      <c r="T155" s="1146"/>
      <c r="U155" s="1146"/>
      <c r="V155" s="1146"/>
      <c r="W155" s="1146"/>
      <c r="X155" s="1146"/>
      <c r="AG155" s="1067"/>
    </row>
    <row r="156" spans="1:36" s="1066" customFormat="1" ht="20.100000000000001" customHeight="1" thickBot="1" x14ac:dyDescent="0.3">
      <c r="A156" s="1064"/>
      <c r="B156" s="1064"/>
      <c r="C156" s="1193" t="s">
        <v>117</v>
      </c>
      <c r="D156" s="712">
        <v>2023</v>
      </c>
      <c r="E156" s="417">
        <f>D156+1</f>
        <v>2024</v>
      </c>
      <c r="F156" s="417">
        <f t="shared" ref="F156:X156" si="81">E156+1</f>
        <v>2025</v>
      </c>
      <c r="G156" s="417">
        <f t="shared" si="81"/>
        <v>2026</v>
      </c>
      <c r="H156" s="417">
        <f t="shared" si="81"/>
        <v>2027</v>
      </c>
      <c r="I156" s="417">
        <f t="shared" si="81"/>
        <v>2028</v>
      </c>
      <c r="J156" s="417">
        <f t="shared" si="81"/>
        <v>2029</v>
      </c>
      <c r="K156" s="417">
        <f t="shared" si="81"/>
        <v>2030</v>
      </c>
      <c r="L156" s="417">
        <f t="shared" si="81"/>
        <v>2031</v>
      </c>
      <c r="M156" s="417">
        <f t="shared" si="81"/>
        <v>2032</v>
      </c>
      <c r="N156" s="417">
        <f t="shared" si="81"/>
        <v>2033</v>
      </c>
      <c r="O156" s="417">
        <f t="shared" si="81"/>
        <v>2034</v>
      </c>
      <c r="P156" s="417">
        <f t="shared" si="81"/>
        <v>2035</v>
      </c>
      <c r="Q156" s="417">
        <f t="shared" si="81"/>
        <v>2036</v>
      </c>
      <c r="R156" s="417">
        <f t="shared" si="81"/>
        <v>2037</v>
      </c>
      <c r="S156" s="417">
        <f t="shared" si="81"/>
        <v>2038</v>
      </c>
      <c r="T156" s="417">
        <f t="shared" si="81"/>
        <v>2039</v>
      </c>
      <c r="U156" s="417">
        <f t="shared" si="81"/>
        <v>2040</v>
      </c>
      <c r="V156" s="417">
        <f t="shared" si="81"/>
        <v>2041</v>
      </c>
      <c r="W156" s="417">
        <f t="shared" si="81"/>
        <v>2042</v>
      </c>
      <c r="X156" s="713">
        <f t="shared" si="81"/>
        <v>2043</v>
      </c>
      <c r="Y156" s="1064"/>
      <c r="Z156" s="1064"/>
      <c r="AA156" s="1064"/>
      <c r="AB156" s="1064"/>
      <c r="AC156" s="1064"/>
      <c r="AD156" s="1064"/>
      <c r="AE156" s="1064"/>
      <c r="AF156" s="1064"/>
      <c r="AG156" s="1064"/>
      <c r="AH156" s="1064"/>
      <c r="AI156" s="1064"/>
      <c r="AJ156" s="1064"/>
    </row>
    <row r="157" spans="1:36" s="1066" customFormat="1" ht="20.100000000000001" customHeight="1" x14ac:dyDescent="0.2">
      <c r="A157" s="1064"/>
      <c r="B157" s="1158" t="s">
        <v>385</v>
      </c>
      <c r="C157" s="1171" t="s">
        <v>62</v>
      </c>
      <c r="D157" s="1166">
        <f>SUM(D150:D152)</f>
        <v>39542.412045102945</v>
      </c>
      <c r="E157" s="1162">
        <f t="shared" ref="E157:X157" si="82">SUM(E150:E152)</f>
        <v>40603.768344005017</v>
      </c>
      <c r="F157" s="1162">
        <f t="shared" si="82"/>
        <v>4208.3343624517711</v>
      </c>
      <c r="G157" s="1162">
        <f t="shared" si="82"/>
        <v>4328.6600832369859</v>
      </c>
      <c r="H157" s="1162">
        <f t="shared" si="82"/>
        <v>4450.5727799068163</v>
      </c>
      <c r="I157" s="1162">
        <f t="shared" si="82"/>
        <v>5867.9677348880032</v>
      </c>
      <c r="J157" s="1162">
        <f t="shared" si="82"/>
        <v>4595.529882785002</v>
      </c>
      <c r="K157" s="1162">
        <f t="shared" si="82"/>
        <v>4724.3160582883511</v>
      </c>
      <c r="L157" s="1162">
        <f t="shared" si="82"/>
        <v>4854.8050989341127</v>
      </c>
      <c r="M157" s="1162">
        <f t="shared" si="82"/>
        <v>4987.0187078543422</v>
      </c>
      <c r="N157" s="1162">
        <f t="shared" si="82"/>
        <v>5120.9788515511818</v>
      </c>
      <c r="O157" s="1162">
        <f t="shared" si="82"/>
        <v>539.81482087648158</v>
      </c>
      <c r="P157" s="1162">
        <f t="shared" si="82"/>
        <v>647.58333018161477</v>
      </c>
      <c r="Q157" s="1162">
        <f t="shared" si="82"/>
        <v>756.92425654964745</v>
      </c>
      <c r="R157" s="1162">
        <f t="shared" si="82"/>
        <v>2387.3722609742449</v>
      </c>
      <c r="S157" s="1162">
        <f t="shared" si="82"/>
        <v>2512.6341710509441</v>
      </c>
      <c r="T157" s="1162">
        <f t="shared" si="82"/>
        <v>2639.6564441897081</v>
      </c>
      <c r="U157" s="1162">
        <f t="shared" si="82"/>
        <v>2768.4621795222261</v>
      </c>
      <c r="V157" s="1162">
        <f t="shared" si="82"/>
        <v>-6122.8020331346706</v>
      </c>
      <c r="W157" s="1162">
        <f t="shared" si="82"/>
        <v>-6047.9747679137727</v>
      </c>
      <c r="X157" s="1163">
        <f t="shared" si="82"/>
        <v>-5971.7616895981582</v>
      </c>
      <c r="Y157" s="1162">
        <f>SUM(D157:X157)</f>
        <v>117394.27292170278</v>
      </c>
      <c r="Z157" s="1064"/>
      <c r="AA157" s="1064"/>
      <c r="AB157" s="1064"/>
      <c r="AC157" s="1064"/>
      <c r="AD157" s="1064"/>
      <c r="AE157" s="1064"/>
      <c r="AF157" s="1064"/>
      <c r="AG157" s="1146"/>
      <c r="AH157" s="1064"/>
      <c r="AI157" s="1064"/>
      <c r="AJ157" s="1064"/>
    </row>
    <row r="158" spans="1:36" s="1066" customFormat="1" ht="20.100000000000001" customHeight="1" x14ac:dyDescent="0.2">
      <c r="A158" s="1064"/>
      <c r="B158" s="1158" t="s">
        <v>140</v>
      </c>
      <c r="C158" s="1172" t="s">
        <v>62</v>
      </c>
      <c r="D158" s="1166">
        <f>D153</f>
        <v>-5621.0923006725461</v>
      </c>
      <c r="E158" s="1162">
        <f t="shared" ref="E158:X158" si="83">E153</f>
        <v>-8485.6390264587753</v>
      </c>
      <c r="F158" s="1162">
        <f t="shared" si="83"/>
        <v>-762.68502281469671</v>
      </c>
      <c r="G158" s="1162">
        <f t="shared" si="83"/>
        <v>-712.79811744851463</v>
      </c>
      <c r="H158" s="1162">
        <f t="shared" si="83"/>
        <v>-661.35092652100047</v>
      </c>
      <c r="I158" s="1162">
        <f t="shared" si="83"/>
        <v>-608.30550840933961</v>
      </c>
      <c r="J158" s="1162">
        <f t="shared" si="83"/>
        <v>-928.93557540700056</v>
      </c>
      <c r="K158" s="1162">
        <f t="shared" si="83"/>
        <v>-871.1621035596479</v>
      </c>
      <c r="L158" s="1162">
        <f t="shared" si="83"/>
        <v>-811.57495601218545</v>
      </c>
      <c r="M158" s="1162">
        <f t="shared" si="83"/>
        <v>-750.12999775987328</v>
      </c>
      <c r="N158" s="1162">
        <f t="shared" si="83"/>
        <v>-686.78207983926654</v>
      </c>
      <c r="O158" s="1162">
        <f t="shared" si="83"/>
        <v>-1150.4320411199405</v>
      </c>
      <c r="P158" s="1162">
        <f t="shared" si="83"/>
        <v>-1086.6045286048677</v>
      </c>
      <c r="Q158" s="1162">
        <f t="shared" si="83"/>
        <v>-1020.7550045746597</v>
      </c>
      <c r="R158" s="1162">
        <f t="shared" si="83"/>
        <v>-952.8341785090372</v>
      </c>
      <c r="S158" s="1162">
        <f t="shared" si="83"/>
        <v>-882.79162696716105</v>
      </c>
      <c r="T158" s="1162">
        <f t="shared" si="83"/>
        <v>-810.57576796254943</v>
      </c>
      <c r="U158" s="1162">
        <f t="shared" si="83"/>
        <v>-1582.5437280022272</v>
      </c>
      <c r="V158" s="1162">
        <f t="shared" si="83"/>
        <v>-1096.5627493891479</v>
      </c>
      <c r="W158" s="1162">
        <f t="shared" si="83"/>
        <v>-1013.7661817363276</v>
      </c>
      <c r="X158" s="1163">
        <f t="shared" si="83"/>
        <v>-928.40495415952273</v>
      </c>
      <c r="Y158" s="1162">
        <f>SUM(D158:X158)</f>
        <v>-31425.726375928287</v>
      </c>
      <c r="Z158" s="1064"/>
      <c r="AA158" s="1064"/>
      <c r="AB158" s="1064"/>
      <c r="AC158" s="1064"/>
      <c r="AD158" s="1064"/>
      <c r="AE158" s="1064"/>
      <c r="AF158" s="1064"/>
      <c r="AG158" s="1146"/>
      <c r="AH158" s="1064"/>
      <c r="AI158" s="1064"/>
      <c r="AJ158" s="1064"/>
    </row>
    <row r="159" spans="1:36" s="1066" customFormat="1" ht="20.100000000000001" customHeight="1" thickBot="1" x14ac:dyDescent="0.25">
      <c r="A159" s="1064"/>
      <c r="B159" s="1158" t="s">
        <v>5</v>
      </c>
      <c r="C159" s="1173" t="s">
        <v>62</v>
      </c>
      <c r="D159" s="1168">
        <f t="shared" ref="D159:X159" si="84">SUM(D157:D158)</f>
        <v>33921.319744430395</v>
      </c>
      <c r="E159" s="1169">
        <f t="shared" si="84"/>
        <v>32118.129317546242</v>
      </c>
      <c r="F159" s="1169">
        <f t="shared" si="84"/>
        <v>3445.6493396370743</v>
      </c>
      <c r="G159" s="1169">
        <f t="shared" si="84"/>
        <v>3615.861965788471</v>
      </c>
      <c r="H159" s="1169">
        <f t="shared" si="84"/>
        <v>3789.2218533858158</v>
      </c>
      <c r="I159" s="1169">
        <f t="shared" si="84"/>
        <v>5259.6622264786638</v>
      </c>
      <c r="J159" s="1169">
        <f t="shared" si="84"/>
        <v>3666.5943073780013</v>
      </c>
      <c r="K159" s="1169">
        <f t="shared" si="84"/>
        <v>3853.153954728703</v>
      </c>
      <c r="L159" s="1169">
        <f t="shared" si="84"/>
        <v>4043.2301429219274</v>
      </c>
      <c r="M159" s="1169">
        <f t="shared" si="84"/>
        <v>4236.8887100944685</v>
      </c>
      <c r="N159" s="1169">
        <f t="shared" si="84"/>
        <v>4434.1967717119151</v>
      </c>
      <c r="O159" s="1169">
        <f t="shared" si="84"/>
        <v>-610.61722024345897</v>
      </c>
      <c r="P159" s="1169">
        <f t="shared" si="84"/>
        <v>-439.02119842325294</v>
      </c>
      <c r="Q159" s="1169">
        <f t="shared" si="84"/>
        <v>-263.83074802501221</v>
      </c>
      <c r="R159" s="1169">
        <f t="shared" si="84"/>
        <v>1434.5380824652077</v>
      </c>
      <c r="S159" s="1169">
        <f t="shared" si="84"/>
        <v>1629.8425440837832</v>
      </c>
      <c r="T159" s="1169">
        <f t="shared" si="84"/>
        <v>1829.0806762271586</v>
      </c>
      <c r="U159" s="1169">
        <f t="shared" si="84"/>
        <v>1185.9184515199988</v>
      </c>
      <c r="V159" s="1169">
        <f t="shared" si="84"/>
        <v>-7219.3647825238186</v>
      </c>
      <c r="W159" s="1169">
        <f t="shared" si="84"/>
        <v>-7061.7409496501004</v>
      </c>
      <c r="X159" s="1170">
        <f t="shared" si="84"/>
        <v>-6900.1666437576805</v>
      </c>
      <c r="Y159" s="1162">
        <f>SUM(D159:X159)</f>
        <v>85968.546545774501</v>
      </c>
      <c r="Z159" s="1064"/>
      <c r="AA159" s="1064"/>
      <c r="AB159" s="1064"/>
      <c r="AC159" s="1064"/>
      <c r="AD159" s="1064"/>
      <c r="AE159" s="1064"/>
      <c r="AF159" s="1064"/>
      <c r="AG159" s="1146"/>
      <c r="AH159" s="1064"/>
      <c r="AI159" s="1064"/>
      <c r="AJ159" s="1064"/>
    </row>
    <row r="160" spans="1:36" s="1064" customFormat="1" ht="20.100000000000001" customHeight="1" x14ac:dyDescent="0.2">
      <c r="B160" s="995" t="s">
        <v>313</v>
      </c>
      <c r="C160" s="1095"/>
      <c r="D160" s="1146"/>
      <c r="E160" s="1146"/>
      <c r="F160" s="1146"/>
      <c r="G160" s="1146"/>
      <c r="H160" s="1146"/>
      <c r="I160" s="1146"/>
      <c r="J160" s="1146"/>
      <c r="K160" s="1146"/>
      <c r="L160" s="1146"/>
      <c r="M160" s="1146"/>
      <c r="N160" s="1146"/>
      <c r="O160" s="1146"/>
      <c r="P160" s="1146"/>
      <c r="Q160" s="1146"/>
      <c r="R160" s="1146"/>
      <c r="S160" s="1146"/>
      <c r="T160" s="1146"/>
      <c r="U160" s="1146"/>
      <c r="V160" s="1146"/>
      <c r="W160" s="1146"/>
      <c r="X160" s="1146"/>
      <c r="AG160" s="1146"/>
    </row>
    <row r="161" spans="1:36" s="1064" customFormat="1" ht="20.100000000000001" customHeight="1" x14ac:dyDescent="0.2">
      <c r="B161" s="1136"/>
      <c r="C161" s="1095" t="s">
        <v>494</v>
      </c>
      <c r="D161" s="1146">
        <f>D154-D159</f>
        <v>0</v>
      </c>
      <c r="E161" s="1146">
        <f t="shared" ref="E161:X161" si="85">E154-E159</f>
        <v>0</v>
      </c>
      <c r="F161" s="1146">
        <f t="shared" si="85"/>
        <v>0</v>
      </c>
      <c r="G161" s="1146">
        <f t="shared" si="85"/>
        <v>0</v>
      </c>
      <c r="H161" s="1146">
        <f t="shared" si="85"/>
        <v>0</v>
      </c>
      <c r="I161" s="1146">
        <f t="shared" si="85"/>
        <v>0</v>
      </c>
      <c r="J161" s="1146">
        <f t="shared" si="85"/>
        <v>0</v>
      </c>
      <c r="K161" s="1146">
        <f t="shared" si="85"/>
        <v>0</v>
      </c>
      <c r="L161" s="1146">
        <f t="shared" si="85"/>
        <v>0</v>
      </c>
      <c r="M161" s="1146">
        <f t="shared" si="85"/>
        <v>0</v>
      </c>
      <c r="N161" s="1146">
        <f t="shared" si="85"/>
        <v>0</v>
      </c>
      <c r="O161" s="1146">
        <f t="shared" si="85"/>
        <v>0</v>
      </c>
      <c r="P161" s="1146">
        <f t="shared" si="85"/>
        <v>0</v>
      </c>
      <c r="Q161" s="1146">
        <f t="shared" si="85"/>
        <v>0</v>
      </c>
      <c r="R161" s="1146">
        <f t="shared" si="85"/>
        <v>0</v>
      </c>
      <c r="S161" s="1146">
        <f t="shared" si="85"/>
        <v>0</v>
      </c>
      <c r="T161" s="1146">
        <f t="shared" si="85"/>
        <v>0</v>
      </c>
      <c r="U161" s="1146">
        <f t="shared" si="85"/>
        <v>0</v>
      </c>
      <c r="V161" s="1146">
        <f t="shared" si="85"/>
        <v>0</v>
      </c>
      <c r="W161" s="1146">
        <f t="shared" si="85"/>
        <v>0</v>
      </c>
      <c r="X161" s="1146">
        <f t="shared" si="85"/>
        <v>0</v>
      </c>
      <c r="AG161" s="1146"/>
    </row>
    <row r="162" spans="1:36" s="1066" customFormat="1" ht="20.100000000000001" customHeight="1" thickBot="1" x14ac:dyDescent="0.25">
      <c r="A162" s="1064"/>
      <c r="B162" s="1136"/>
      <c r="C162" s="1095"/>
      <c r="D162" s="1146"/>
      <c r="E162" s="1146"/>
      <c r="F162" s="1146"/>
      <c r="G162" s="1146"/>
      <c r="H162" s="1146"/>
      <c r="I162" s="1146"/>
      <c r="J162" s="1146"/>
      <c r="K162" s="1146"/>
      <c r="L162" s="1146"/>
      <c r="M162" s="1146"/>
      <c r="N162" s="1146"/>
      <c r="O162" s="1146"/>
      <c r="P162" s="1146"/>
      <c r="Q162" s="1146"/>
      <c r="R162" s="1146"/>
      <c r="S162" s="1146"/>
      <c r="T162" s="1146"/>
      <c r="U162" s="1146"/>
      <c r="V162" s="1146"/>
      <c r="W162" s="1146"/>
      <c r="X162" s="1146"/>
      <c r="AG162" s="1067"/>
    </row>
    <row r="163" spans="1:36" s="1066" customFormat="1" ht="20.100000000000001" customHeight="1" thickBot="1" x14ac:dyDescent="0.3">
      <c r="A163" s="1064"/>
      <c r="B163" s="1158" t="s">
        <v>583</v>
      </c>
      <c r="C163" s="1193" t="s">
        <v>117</v>
      </c>
      <c r="D163" s="712">
        <v>2023</v>
      </c>
      <c r="E163" s="417">
        <f>D163+1</f>
        <v>2024</v>
      </c>
      <c r="F163" s="417">
        <f t="shared" ref="F163:X163" si="86">E163+1</f>
        <v>2025</v>
      </c>
      <c r="G163" s="417">
        <f t="shared" si="86"/>
        <v>2026</v>
      </c>
      <c r="H163" s="417">
        <f t="shared" si="86"/>
        <v>2027</v>
      </c>
      <c r="I163" s="417">
        <f t="shared" si="86"/>
        <v>2028</v>
      </c>
      <c r="J163" s="417">
        <f t="shared" si="86"/>
        <v>2029</v>
      </c>
      <c r="K163" s="417">
        <f t="shared" si="86"/>
        <v>2030</v>
      </c>
      <c r="L163" s="417">
        <f t="shared" si="86"/>
        <v>2031</v>
      </c>
      <c r="M163" s="417">
        <f t="shared" si="86"/>
        <v>2032</v>
      </c>
      <c r="N163" s="417">
        <f t="shared" si="86"/>
        <v>2033</v>
      </c>
      <c r="O163" s="417">
        <f t="shared" si="86"/>
        <v>2034</v>
      </c>
      <c r="P163" s="417">
        <f t="shared" si="86"/>
        <v>2035</v>
      </c>
      <c r="Q163" s="417">
        <f t="shared" si="86"/>
        <v>2036</v>
      </c>
      <c r="R163" s="417">
        <f t="shared" si="86"/>
        <v>2037</v>
      </c>
      <c r="S163" s="417">
        <f t="shared" si="86"/>
        <v>2038</v>
      </c>
      <c r="T163" s="417">
        <f t="shared" si="86"/>
        <v>2039</v>
      </c>
      <c r="U163" s="417">
        <f t="shared" si="86"/>
        <v>2040</v>
      </c>
      <c r="V163" s="417">
        <f t="shared" si="86"/>
        <v>2041</v>
      </c>
      <c r="W163" s="417">
        <f t="shared" si="86"/>
        <v>2042</v>
      </c>
      <c r="X163" s="713">
        <f t="shared" si="86"/>
        <v>2043</v>
      </c>
      <c r="Y163" s="1064"/>
      <c r="Z163" s="1064"/>
      <c r="AA163" s="1064"/>
      <c r="AB163" s="1064"/>
      <c r="AC163" s="1064"/>
      <c r="AD163" s="1064"/>
      <c r="AE163" s="1064"/>
      <c r="AF163" s="1064"/>
      <c r="AG163" s="1064"/>
      <c r="AH163" s="1064"/>
      <c r="AI163" s="1064"/>
      <c r="AJ163" s="1064"/>
    </row>
    <row r="164" spans="1:36" s="1066" customFormat="1" ht="20.100000000000001" customHeight="1" thickBot="1" x14ac:dyDescent="0.25">
      <c r="A164" s="1064"/>
      <c r="B164" s="1158" t="s">
        <v>5</v>
      </c>
      <c r="C164" s="1173" t="s">
        <v>62</v>
      </c>
      <c r="D164" s="1169">
        <f t="shared" ref="D164:F164" si="87">SUM(D124:D127)*$F$146</f>
        <v>402332.78075523727</v>
      </c>
      <c r="E164" s="1169">
        <f t="shared" si="87"/>
        <v>408168.87812390015</v>
      </c>
      <c r="F164" s="1169">
        <f t="shared" si="87"/>
        <v>46618.054703348818</v>
      </c>
      <c r="G164" s="1169">
        <f>SUM(G124:G127)*$F$146</f>
        <v>46908.714872792261</v>
      </c>
      <c r="H164" s="1169">
        <f t="shared" ref="H164:X164" si="88">SUM(H124:H127)*$F$146</f>
        <v>47201.687751406709</v>
      </c>
      <c r="I164" s="1169">
        <f t="shared" si="88"/>
        <v>47496.992331319059</v>
      </c>
      <c r="J164" s="1169">
        <f t="shared" si="88"/>
        <v>49821.542952003801</v>
      </c>
      <c r="K164" s="1169">
        <f t="shared" si="88"/>
        <v>50134.423840357231</v>
      </c>
      <c r="L164" s="1169">
        <f t="shared" si="88"/>
        <v>50449.79231333005</v>
      </c>
      <c r="M164" s="1169">
        <f t="shared" si="88"/>
        <v>50767.668769132142</v>
      </c>
      <c r="N164" s="1169">
        <f t="shared" si="88"/>
        <v>51088.073774317825</v>
      </c>
      <c r="O164" s="1169">
        <f t="shared" si="88"/>
        <v>56656.868031992606</v>
      </c>
      <c r="P164" s="1169">
        <f t="shared" si="88"/>
        <v>57015.610130921013</v>
      </c>
      <c r="Q164" s="1169">
        <f t="shared" si="88"/>
        <v>57377.207841970623</v>
      </c>
      <c r="R164" s="1169">
        <f t="shared" si="88"/>
        <v>57741.684586636518</v>
      </c>
      <c r="S164" s="1169">
        <f t="shared" si="88"/>
        <v>58109.06397973132</v>
      </c>
      <c r="T164" s="1169">
        <f t="shared" si="88"/>
        <v>58479.369830986194</v>
      </c>
      <c r="U164" s="1169">
        <f t="shared" si="88"/>
        <v>59699.036039906212</v>
      </c>
      <c r="V164" s="1169">
        <f t="shared" si="88"/>
        <v>69102.689946971062</v>
      </c>
      <c r="W164" s="1169">
        <f t="shared" si="88"/>
        <v>69545.118308558624</v>
      </c>
      <c r="X164" s="1169">
        <f t="shared" si="88"/>
        <v>69991.075596813564</v>
      </c>
      <c r="Y164" s="1162">
        <f>SUM(D164:X164)</f>
        <v>1864706.3344816333</v>
      </c>
      <c r="Z164" s="1064"/>
      <c r="AA164" s="1064"/>
      <c r="AB164" s="1064"/>
      <c r="AC164" s="1064"/>
      <c r="AD164" s="1064"/>
      <c r="AE164" s="1064"/>
      <c r="AF164" s="1064"/>
      <c r="AG164" s="1146"/>
      <c r="AH164" s="1064"/>
      <c r="AI164" s="1064"/>
      <c r="AJ164" s="1064"/>
    </row>
    <row r="165" spans="1:36" s="1066" customFormat="1" ht="20.100000000000001" customHeight="1" x14ac:dyDescent="0.25"/>
    <row r="166" spans="1:36" s="1066" customFormat="1" ht="29.25" x14ac:dyDescent="0.5">
      <c r="A166" s="1064"/>
      <c r="B166" s="1092" t="s">
        <v>743</v>
      </c>
      <c r="C166" s="1092"/>
      <c r="D166" s="1092"/>
      <c r="E166" s="1092"/>
      <c r="F166" s="1092"/>
      <c r="G166" s="1092"/>
      <c r="H166" s="1092"/>
      <c r="I166" s="1092"/>
      <c r="J166" s="1092"/>
      <c r="K166" s="1092"/>
      <c r="L166" s="1092"/>
      <c r="M166" s="1092"/>
      <c r="N166" s="1092"/>
      <c r="O166" s="1092"/>
      <c r="P166" s="1092"/>
      <c r="Q166" s="1092"/>
      <c r="R166" s="1092"/>
      <c r="S166" s="1092"/>
      <c r="T166" s="1092"/>
      <c r="U166" s="1092"/>
      <c r="V166" s="1092"/>
      <c r="W166" s="1092"/>
      <c r="X166" s="1092"/>
    </row>
    <row r="167" spans="1:36" s="1066" customFormat="1" ht="20.100000000000001" customHeight="1" x14ac:dyDescent="0.25">
      <c r="A167" s="1064"/>
    </row>
    <row r="168" spans="1:36" s="1066" customFormat="1" ht="24.75" customHeight="1" thickBot="1" x14ac:dyDescent="0.55000000000000004">
      <c r="A168" s="1064"/>
      <c r="C168" s="1090"/>
      <c r="D168" s="1840" t="s">
        <v>744</v>
      </c>
      <c r="E168" s="1840"/>
      <c r="F168" s="1840"/>
      <c r="G168" s="1840"/>
      <c r="H168" s="1840"/>
      <c r="I168" s="1840"/>
      <c r="J168" s="1840"/>
      <c r="K168" s="1840"/>
      <c r="L168" s="1840"/>
      <c r="M168" s="1840"/>
      <c r="N168" s="1840"/>
      <c r="O168" s="1840"/>
      <c r="P168" s="1840"/>
      <c r="Q168" s="1840"/>
      <c r="R168" s="1840"/>
      <c r="S168" s="1840"/>
      <c r="T168" s="1840"/>
      <c r="U168" s="1840"/>
      <c r="V168" s="1840"/>
      <c r="W168" s="1840"/>
      <c r="X168" s="1840"/>
    </row>
    <row r="169" spans="1:36" s="1066" customFormat="1" ht="20.100000000000001" customHeight="1" thickBot="1" x14ac:dyDescent="0.3">
      <c r="A169" s="1064"/>
      <c r="C169" s="1193" t="s">
        <v>117</v>
      </c>
      <c r="D169" s="719">
        <v>2023</v>
      </c>
      <c r="E169" s="717">
        <f>D169+1</f>
        <v>2024</v>
      </c>
      <c r="F169" s="717">
        <f t="shared" ref="F169:X169" si="89">E169+1</f>
        <v>2025</v>
      </c>
      <c r="G169" s="717">
        <f t="shared" si="89"/>
        <v>2026</v>
      </c>
      <c r="H169" s="717">
        <f t="shared" si="89"/>
        <v>2027</v>
      </c>
      <c r="I169" s="717">
        <f t="shared" si="89"/>
        <v>2028</v>
      </c>
      <c r="J169" s="717">
        <f t="shared" si="89"/>
        <v>2029</v>
      </c>
      <c r="K169" s="717">
        <f t="shared" si="89"/>
        <v>2030</v>
      </c>
      <c r="L169" s="717">
        <f t="shared" si="89"/>
        <v>2031</v>
      </c>
      <c r="M169" s="717">
        <f t="shared" si="89"/>
        <v>2032</v>
      </c>
      <c r="N169" s="717">
        <f t="shared" si="89"/>
        <v>2033</v>
      </c>
      <c r="O169" s="717">
        <f t="shared" si="89"/>
        <v>2034</v>
      </c>
      <c r="P169" s="717">
        <f t="shared" si="89"/>
        <v>2035</v>
      </c>
      <c r="Q169" s="717">
        <f t="shared" si="89"/>
        <v>2036</v>
      </c>
      <c r="R169" s="717">
        <f t="shared" si="89"/>
        <v>2037</v>
      </c>
      <c r="S169" s="717">
        <f t="shared" si="89"/>
        <v>2038</v>
      </c>
      <c r="T169" s="717">
        <f t="shared" si="89"/>
        <v>2039</v>
      </c>
      <c r="U169" s="717">
        <f t="shared" si="89"/>
        <v>2040</v>
      </c>
      <c r="V169" s="717">
        <f t="shared" si="89"/>
        <v>2041</v>
      </c>
      <c r="W169" s="717">
        <f t="shared" si="89"/>
        <v>2042</v>
      </c>
      <c r="X169" s="718">
        <f t="shared" si="89"/>
        <v>2043</v>
      </c>
    </row>
    <row r="170" spans="1:36" s="1066" customFormat="1" ht="20.100000000000001" customHeight="1" x14ac:dyDescent="0.35">
      <c r="A170" s="1064"/>
      <c r="B170" s="1070" t="s">
        <v>394</v>
      </c>
      <c r="C170" s="1159" t="s">
        <v>745</v>
      </c>
      <c r="D170" s="1651">
        <f>VLOOKUP(MROUND(D24,5),'EmissRates MOVES2014'!$C$21:$U$36,4)</f>
        <v>0.7070418261071888</v>
      </c>
      <c r="E170" s="1247">
        <f>VLOOKUP(MROUND(E24,5),'EmissRates MOVES2014'!$C$21:$U$36,4)</f>
        <v>0.7070418261071888</v>
      </c>
      <c r="F170" s="1247">
        <f>VLOOKUP(MROUND(F24,5),'EmissRates MOVES2014'!$Z$21:$AE$36,4)</f>
        <v>5.3363985730839704E-2</v>
      </c>
      <c r="G170" s="1247">
        <f>VLOOKUP(MROUND(G24,5),'EmissRates MOVES2014'!$Z$21:$AE$36,4)</f>
        <v>5.3363985730839704E-2</v>
      </c>
      <c r="H170" s="1247">
        <f>VLOOKUP(MROUND(H24,5),'EmissRates MOVES2014'!$Z$21:$AE$36,4)</f>
        <v>5.3363985730839704E-2</v>
      </c>
      <c r="I170" s="1247">
        <f>VLOOKUP(MROUND(I24,5),'EmissRates MOVES2014'!$Z$21:$AE$36,4)</f>
        <v>5.3363985730839704E-2</v>
      </c>
      <c r="J170" s="1247">
        <f>VLOOKUP(MROUND(J24,5),'EmissRates MOVES2014'!$Z$21:$AE$36,4)</f>
        <v>4.6680354909406148E-2</v>
      </c>
      <c r="K170" s="1247">
        <f>VLOOKUP(MROUND(K24,5),'EmissRates MOVES2014'!$Z$21:$AE$36,4)</f>
        <v>4.6680354909406148E-2</v>
      </c>
      <c r="L170" s="1247">
        <f>VLOOKUP(MROUND(L24,5),'EmissRates MOVES2014'!$Z$21:$AE$36,4)</f>
        <v>4.6680354909406148E-2</v>
      </c>
      <c r="M170" s="1247">
        <f>VLOOKUP(MROUND(M24,5),'EmissRates MOVES2014'!$Z$21:$AE$36,4)</f>
        <v>4.6680354909406148E-2</v>
      </c>
      <c r="N170" s="1247">
        <f>VLOOKUP(MROUND(N24,5),'EmissRates MOVES2014'!$Z$21:$AE$36,4)</f>
        <v>4.6680354909406148E-2</v>
      </c>
      <c r="O170" s="1247">
        <f>VLOOKUP(MROUND(O24,5),'EmissRates MOVES2014'!$Z$21:$AE$36,4)</f>
        <v>4.4041789092863382E-2</v>
      </c>
      <c r="P170" s="1247">
        <f>VLOOKUP(MROUND(P24,5),'EmissRates MOVES2014'!$Z$21:$AE$36,4)</f>
        <v>4.4041789092863382E-2</v>
      </c>
      <c r="Q170" s="1247">
        <f>VLOOKUP(MROUND(Q24,5),'EmissRates MOVES2014'!$Z$21:$AE$36,4)</f>
        <v>4.4041789092863382E-2</v>
      </c>
      <c r="R170" s="1247">
        <f>VLOOKUP(MROUND(R24,5),'EmissRates MOVES2014'!$Z$21:$AE$36,4)</f>
        <v>4.4041789092863382E-2</v>
      </c>
      <c r="S170" s="1247">
        <f>VLOOKUP(MROUND(S24,5),'EmissRates MOVES2014'!$Z$21:$AE$36,4)</f>
        <v>4.4041789092863382E-2</v>
      </c>
      <c r="T170" s="1247">
        <f>VLOOKUP(MROUND(T24,5),'EmissRates MOVES2014'!$Z$21:$AE$36,4)</f>
        <v>4.4041789092863382E-2</v>
      </c>
      <c r="U170" s="1247">
        <f>VLOOKUP(MROUND(U24,5),'EmissRates MOVES2014'!$Z$21:$AE$36,4)</f>
        <v>4.4041789092863382E-2</v>
      </c>
      <c r="V170" s="1247">
        <f>VLOOKUP(MROUND(V24,5),'EmissRates MOVES2014'!$Z$21:$AE$36,4)</f>
        <v>4.3008367418904174E-2</v>
      </c>
      <c r="W170" s="1247">
        <f>VLOOKUP(MROUND(W24,5),'EmissRates MOVES2014'!$Z$21:$AE$36,4)</f>
        <v>4.3008367418904174E-2</v>
      </c>
      <c r="X170" s="1248">
        <f>VLOOKUP(MROUND(X24,5),'EmissRates MOVES2014'!$Z$21:$AE$36,4)</f>
        <v>4.3008367418904174E-2</v>
      </c>
    </row>
    <row r="171" spans="1:36" s="1066" customFormat="1" ht="20.100000000000001" customHeight="1" x14ac:dyDescent="0.35">
      <c r="A171" s="1064"/>
      <c r="B171" s="1076" t="s">
        <v>395</v>
      </c>
      <c r="C171" s="1165" t="s">
        <v>745</v>
      </c>
      <c r="D171" s="1652">
        <f>VLOOKUP(MROUND(D25,5),'EmissRates MOVES2014'!$C$21:$U$36,4)</f>
        <v>0.7070418261071888</v>
      </c>
      <c r="E171" s="1249">
        <f>VLOOKUP(MROUND(E25,5),'EmissRates MOVES2014'!$C$21:$U$36,4)</f>
        <v>0.7070418261071888</v>
      </c>
      <c r="F171" s="1249">
        <f>VLOOKUP(MROUND(F25,5),'EmissRates MOVES2014'!$Z$21:$AE$36,4)</f>
        <v>5.3363985730839704E-2</v>
      </c>
      <c r="G171" s="1249">
        <f>VLOOKUP(MROUND(G25,5),'EmissRates MOVES2014'!$Z$21:$AE$36,4)</f>
        <v>5.3363985730839704E-2</v>
      </c>
      <c r="H171" s="1249">
        <f>VLOOKUP(MROUND(H25,5),'EmissRates MOVES2014'!$Z$21:$AE$36,4)</f>
        <v>5.3363985730839704E-2</v>
      </c>
      <c r="I171" s="1249">
        <f>VLOOKUP(MROUND(I25,5),'EmissRates MOVES2014'!$Z$21:$AE$36,4)</f>
        <v>5.3363985730839704E-2</v>
      </c>
      <c r="J171" s="1249">
        <f>VLOOKUP(MROUND(J25,5),'EmissRates MOVES2014'!$Z$21:$AE$36,4)</f>
        <v>4.6680354909406148E-2</v>
      </c>
      <c r="K171" s="1249">
        <f>VLOOKUP(MROUND(K25,5),'EmissRates MOVES2014'!$Z$21:$AE$36,4)</f>
        <v>4.6680354909406148E-2</v>
      </c>
      <c r="L171" s="1249">
        <f>VLOOKUP(MROUND(L25,5),'EmissRates MOVES2014'!$Z$21:$AE$36,4)</f>
        <v>4.6680354909406148E-2</v>
      </c>
      <c r="M171" s="1249">
        <f>VLOOKUP(MROUND(M25,5),'EmissRates MOVES2014'!$Z$21:$AE$36,4)</f>
        <v>4.6680354909406148E-2</v>
      </c>
      <c r="N171" s="1249">
        <f>VLOOKUP(MROUND(N25,5),'EmissRates MOVES2014'!$Z$21:$AE$36,4)</f>
        <v>4.6680354909406148E-2</v>
      </c>
      <c r="O171" s="1249">
        <f>VLOOKUP(MROUND(O25,5),'EmissRates MOVES2014'!$Z$21:$AE$36,4)</f>
        <v>4.4041789092863382E-2</v>
      </c>
      <c r="P171" s="1249">
        <f>VLOOKUP(MROUND(P25,5),'EmissRates MOVES2014'!$Z$21:$AE$36,4)</f>
        <v>4.4041789092863382E-2</v>
      </c>
      <c r="Q171" s="1249">
        <f>VLOOKUP(MROUND(Q25,5),'EmissRates MOVES2014'!$Z$21:$AE$36,4)</f>
        <v>4.4041789092863382E-2</v>
      </c>
      <c r="R171" s="1249">
        <f>VLOOKUP(MROUND(R25,5),'EmissRates MOVES2014'!$Z$21:$AE$36,4)</f>
        <v>4.4041789092863382E-2</v>
      </c>
      <c r="S171" s="1249">
        <f>VLOOKUP(MROUND(S25,5),'EmissRates MOVES2014'!$Z$21:$AE$36,4)</f>
        <v>4.4041789092863382E-2</v>
      </c>
      <c r="T171" s="1249">
        <f>VLOOKUP(MROUND(T25,5),'EmissRates MOVES2014'!$Z$21:$AE$36,4)</f>
        <v>4.4041789092863382E-2</v>
      </c>
      <c r="U171" s="1249">
        <f>VLOOKUP(MROUND(U25,5),'EmissRates MOVES2014'!$Z$21:$AE$36,4)</f>
        <v>4.4041789092863382E-2</v>
      </c>
      <c r="V171" s="1249">
        <f>VLOOKUP(MROUND(V25,5),'EmissRates MOVES2014'!$Z$21:$AE$36,4)</f>
        <v>4.3008367418904174E-2</v>
      </c>
      <c r="W171" s="1249">
        <f>VLOOKUP(MROUND(W25,5),'EmissRates MOVES2014'!$Z$21:$AE$36,4)</f>
        <v>4.3008367418904174E-2</v>
      </c>
      <c r="X171" s="1250">
        <f>VLOOKUP(MROUND(X25,5),'EmissRates MOVES2014'!$Z$21:$AE$36,4)</f>
        <v>4.3008367418904174E-2</v>
      </c>
    </row>
    <row r="172" spans="1:36" s="1066" customFormat="1" ht="20.100000000000001" customHeight="1" x14ac:dyDescent="0.35">
      <c r="A172" s="1064"/>
      <c r="B172" s="1076" t="s">
        <v>396</v>
      </c>
      <c r="C172" s="1165" t="s">
        <v>745</v>
      </c>
      <c r="D172" s="1652">
        <f>VLOOKUP(MROUND(D26,5),'EmissRates MOVES2014'!$C$21:$U$36,4)</f>
        <v>0.7070418261071888</v>
      </c>
      <c r="E172" s="1249">
        <f>VLOOKUP(MROUND(E26,5),'EmissRates MOVES2014'!$C$21:$U$36,4)</f>
        <v>0.7070418261071888</v>
      </c>
      <c r="F172" s="1249">
        <f>VLOOKUP(MROUND(F26,5),'EmissRates MOVES2014'!$Z$21:$AE$36,4)</f>
        <v>5.3363985730839704E-2</v>
      </c>
      <c r="G172" s="1249">
        <f>VLOOKUP(MROUND(G26,5),'EmissRates MOVES2014'!$Z$21:$AE$36,4)</f>
        <v>5.3363985730839704E-2</v>
      </c>
      <c r="H172" s="1249">
        <f>VLOOKUP(MROUND(H26,5),'EmissRates MOVES2014'!$Z$21:$AE$36,4)</f>
        <v>5.3363985730839704E-2</v>
      </c>
      <c r="I172" s="1249">
        <f>VLOOKUP(MROUND(I26,5),'EmissRates MOVES2014'!$Z$21:$AE$36,4)</f>
        <v>5.3363985730839704E-2</v>
      </c>
      <c r="J172" s="1249">
        <f>VLOOKUP(MROUND(J26,5),'EmissRates MOVES2014'!$Z$21:$AE$36,4)</f>
        <v>4.6680354909406148E-2</v>
      </c>
      <c r="K172" s="1249">
        <f>VLOOKUP(MROUND(K26,5),'EmissRates MOVES2014'!$Z$21:$AE$36,4)</f>
        <v>4.6680354909406148E-2</v>
      </c>
      <c r="L172" s="1249">
        <f>VLOOKUP(MROUND(L26,5),'EmissRates MOVES2014'!$Z$21:$AE$36,4)</f>
        <v>4.6680354909406148E-2</v>
      </c>
      <c r="M172" s="1249">
        <f>VLOOKUP(MROUND(M26,5),'EmissRates MOVES2014'!$Z$21:$AE$36,4)</f>
        <v>4.6680354909406148E-2</v>
      </c>
      <c r="N172" s="1249">
        <f>VLOOKUP(MROUND(N26,5),'EmissRates MOVES2014'!$Z$21:$AE$36,4)</f>
        <v>4.6680354909406148E-2</v>
      </c>
      <c r="O172" s="1249">
        <f>VLOOKUP(MROUND(O26,5),'EmissRates MOVES2014'!$Z$21:$AE$36,4)</f>
        <v>4.4041789092863382E-2</v>
      </c>
      <c r="P172" s="1249">
        <f>VLOOKUP(MROUND(P26,5),'EmissRates MOVES2014'!$Z$21:$AE$36,4)</f>
        <v>4.4041789092863382E-2</v>
      </c>
      <c r="Q172" s="1249">
        <f>VLOOKUP(MROUND(Q26,5),'EmissRates MOVES2014'!$Z$21:$AE$36,4)</f>
        <v>4.4041789092863382E-2</v>
      </c>
      <c r="R172" s="1249">
        <f>VLOOKUP(MROUND(R26,5),'EmissRates MOVES2014'!$Z$21:$AE$36,4)</f>
        <v>4.4041789092863382E-2</v>
      </c>
      <c r="S172" s="1249">
        <f>VLOOKUP(MROUND(S26,5),'EmissRates MOVES2014'!$Z$21:$AE$36,4)</f>
        <v>4.4041789092863382E-2</v>
      </c>
      <c r="T172" s="1249">
        <f>VLOOKUP(MROUND(T26,5),'EmissRates MOVES2014'!$Z$21:$AE$36,4)</f>
        <v>4.4041789092863382E-2</v>
      </c>
      <c r="U172" s="1249">
        <f>VLOOKUP(MROUND(U26,5),'EmissRates MOVES2014'!$Z$21:$AE$36,4)</f>
        <v>4.4041789092863382E-2</v>
      </c>
      <c r="V172" s="1249">
        <f>VLOOKUP(MROUND(V26,5),'EmissRates MOVES2014'!$Z$21:$AE$36,4)</f>
        <v>4.3008367418904174E-2</v>
      </c>
      <c r="W172" s="1249">
        <f>VLOOKUP(MROUND(W26,5),'EmissRates MOVES2014'!$Z$21:$AE$36,4)</f>
        <v>4.3008367418904174E-2</v>
      </c>
      <c r="X172" s="1250">
        <f>VLOOKUP(MROUND(X26,5),'EmissRates MOVES2014'!$Z$21:$AE$36,4)</f>
        <v>4.3008367418904174E-2</v>
      </c>
    </row>
    <row r="173" spans="1:36" s="1066" customFormat="1" ht="20.100000000000001" customHeight="1" thickBot="1" x14ac:dyDescent="0.4">
      <c r="A173" s="1064"/>
      <c r="B173" s="1081" t="s">
        <v>140</v>
      </c>
      <c r="C173" s="1167" t="s">
        <v>745</v>
      </c>
      <c r="D173" s="1653">
        <f>VLOOKUP(MROUND(D27,5),'EmissRates MOVES2014'!$C$21:$U$36,19)</f>
        <v>6.0089731840539207</v>
      </c>
      <c r="E173" s="1251">
        <f>VLOOKUP(MROUND(E27,5),'EmissRates MOVES2014'!$C$21:$U$36,19)</f>
        <v>6.1896057777816837</v>
      </c>
      <c r="F173" s="1251">
        <f>VLOOKUP(MROUND(F27,5),'EmissRates MOVES2014'!$Z$21:$AR$36,19)</f>
        <v>0.45692822710896652</v>
      </c>
      <c r="G173" s="1251">
        <f>VLOOKUP(MROUND(G27,5),'EmissRates MOVES2014'!$Z$21:$AR$36,19)</f>
        <v>0.45692822710896652</v>
      </c>
      <c r="H173" s="1251">
        <f>VLOOKUP(MROUND(H27,5),'EmissRates MOVES2014'!$Z$21:$AR$36,19)</f>
        <v>0.45692822710896652</v>
      </c>
      <c r="I173" s="1251">
        <f>VLOOKUP(MROUND(I27,5),'EmissRates MOVES2014'!$Z$21:$AR$36,19)</f>
        <v>0.45692822710896652</v>
      </c>
      <c r="J173" s="1251">
        <f>VLOOKUP(MROUND(J27,5),'EmissRates MOVES2014'!$Z$21:$AR$36,19)</f>
        <v>0.52677169340622121</v>
      </c>
      <c r="K173" s="1251">
        <f>VLOOKUP(MROUND(K27,5),'EmissRates MOVES2014'!$Z$21:$AR$36,19)</f>
        <v>0.52677169340622121</v>
      </c>
      <c r="L173" s="1251">
        <f>VLOOKUP(MROUND(L27,5),'EmissRates MOVES2014'!$Z$21:$AR$36,19)</f>
        <v>0.52677169340622121</v>
      </c>
      <c r="M173" s="1251">
        <f>VLOOKUP(MROUND(M27,5),'EmissRates MOVES2014'!$Z$21:$AR$36,19)</f>
        <v>0.52677169340622121</v>
      </c>
      <c r="N173" s="1251">
        <f>VLOOKUP(MROUND(N27,5),'EmissRates MOVES2014'!$Z$21:$AR$36,19)</f>
        <v>0.52677169340622121</v>
      </c>
      <c r="O173" s="1251">
        <f>VLOOKUP(MROUND(O27,5),'EmissRates MOVES2014'!$Z$21:$AR$36,19)</f>
        <v>0.55258734727367564</v>
      </c>
      <c r="P173" s="1251">
        <f>VLOOKUP(MROUND(P27,5),'EmissRates MOVES2014'!$Z$21:$AR$36,19)</f>
        <v>0.55258734727367564</v>
      </c>
      <c r="Q173" s="1251">
        <f>VLOOKUP(MROUND(Q27,5),'EmissRates MOVES2014'!$Z$21:$AR$36,19)</f>
        <v>0.55258734727367564</v>
      </c>
      <c r="R173" s="1251">
        <f>VLOOKUP(MROUND(R27,5),'EmissRates MOVES2014'!$Z$21:$AR$36,19)</f>
        <v>0.55258734727367564</v>
      </c>
      <c r="S173" s="1251">
        <f>VLOOKUP(MROUND(S27,5),'EmissRates MOVES2014'!$Z$21:$AR$36,19)</f>
        <v>0.55258734727367564</v>
      </c>
      <c r="T173" s="1251">
        <f>VLOOKUP(MROUND(T27,5),'EmissRates MOVES2014'!$Z$21:$AR$36,19)</f>
        <v>0.55258734727367564</v>
      </c>
      <c r="U173" s="1251">
        <f>VLOOKUP(MROUND(U27,5),'EmissRates MOVES2014'!$Z$21:$AR$36,19)</f>
        <v>0.61422736803719191</v>
      </c>
      <c r="V173" s="1251">
        <f>VLOOKUP(MROUND(V27,5),'EmissRates MOVES2014'!$Z$21:$AR$36,19)</f>
        <v>0.61422736803719191</v>
      </c>
      <c r="W173" s="1251">
        <f>VLOOKUP(MROUND(W27,5),'EmissRates MOVES2014'!$Z$21:$AR$36,19)</f>
        <v>0.61422736803719191</v>
      </c>
      <c r="X173" s="1654">
        <f>VLOOKUP(MROUND(X27,5),'EmissRates MOVES2014'!$Z$21:$AR$36,19)</f>
        <v>0.61422736803719191</v>
      </c>
    </row>
    <row r="174" spans="1:36" s="1066" customFormat="1" ht="20.100000000000001" customHeight="1" x14ac:dyDescent="0.25">
      <c r="A174" s="1064"/>
    </row>
    <row r="175" spans="1:36" s="1066" customFormat="1" ht="22.5" customHeight="1" thickBot="1" x14ac:dyDescent="0.55000000000000004">
      <c r="A175" s="1064"/>
      <c r="C175" s="1090"/>
      <c r="D175" s="1840" t="s">
        <v>746</v>
      </c>
      <c r="E175" s="1840"/>
      <c r="F175" s="1840"/>
      <c r="G175" s="1840"/>
      <c r="H175" s="1840"/>
      <c r="I175" s="1840"/>
      <c r="J175" s="1840"/>
      <c r="K175" s="1840"/>
      <c r="L175" s="1840"/>
      <c r="M175" s="1840"/>
      <c r="N175" s="1840"/>
      <c r="O175" s="1840"/>
      <c r="P175" s="1840"/>
      <c r="Q175" s="1840"/>
      <c r="R175" s="1840"/>
      <c r="S175" s="1840"/>
      <c r="T175" s="1840"/>
      <c r="U175" s="1840"/>
      <c r="V175" s="1840"/>
      <c r="W175" s="1840"/>
      <c r="X175" s="1840"/>
    </row>
    <row r="176" spans="1:36" s="1066" customFormat="1" ht="20.100000000000001" customHeight="1" thickBot="1" x14ac:dyDescent="0.3">
      <c r="A176" s="1064"/>
      <c r="C176" s="1193" t="s">
        <v>117</v>
      </c>
      <c r="D176" s="719">
        <v>2023</v>
      </c>
      <c r="E176" s="717">
        <f>D176+1</f>
        <v>2024</v>
      </c>
      <c r="F176" s="717">
        <f t="shared" ref="F176:X176" si="90">E176+1</f>
        <v>2025</v>
      </c>
      <c r="G176" s="717">
        <f t="shared" si="90"/>
        <v>2026</v>
      </c>
      <c r="H176" s="717">
        <f t="shared" si="90"/>
        <v>2027</v>
      </c>
      <c r="I176" s="717">
        <f t="shared" si="90"/>
        <v>2028</v>
      </c>
      <c r="J176" s="717">
        <f t="shared" si="90"/>
        <v>2029</v>
      </c>
      <c r="K176" s="717">
        <f t="shared" si="90"/>
        <v>2030</v>
      </c>
      <c r="L176" s="717">
        <f t="shared" si="90"/>
        <v>2031</v>
      </c>
      <c r="M176" s="717">
        <f t="shared" si="90"/>
        <v>2032</v>
      </c>
      <c r="N176" s="717">
        <f t="shared" si="90"/>
        <v>2033</v>
      </c>
      <c r="O176" s="717">
        <f t="shared" si="90"/>
        <v>2034</v>
      </c>
      <c r="P176" s="717">
        <f t="shared" si="90"/>
        <v>2035</v>
      </c>
      <c r="Q176" s="717">
        <f t="shared" si="90"/>
        <v>2036</v>
      </c>
      <c r="R176" s="717">
        <f t="shared" si="90"/>
        <v>2037</v>
      </c>
      <c r="S176" s="717">
        <f t="shared" si="90"/>
        <v>2038</v>
      </c>
      <c r="T176" s="717">
        <f t="shared" si="90"/>
        <v>2039</v>
      </c>
      <c r="U176" s="717">
        <f t="shared" si="90"/>
        <v>2040</v>
      </c>
      <c r="V176" s="717">
        <f t="shared" si="90"/>
        <v>2041</v>
      </c>
      <c r="W176" s="717">
        <f t="shared" si="90"/>
        <v>2042</v>
      </c>
      <c r="X176" s="718">
        <f t="shared" si="90"/>
        <v>2043</v>
      </c>
    </row>
    <row r="177" spans="1:36" s="1066" customFormat="1" ht="20.100000000000001" customHeight="1" x14ac:dyDescent="0.35">
      <c r="A177" s="1064"/>
      <c r="B177" s="1070" t="s">
        <v>394</v>
      </c>
      <c r="C177" s="1159" t="s">
        <v>745</v>
      </c>
      <c r="D177" s="1651">
        <f>VLOOKUP(MROUND(D31,5),'EmissRates MOVES2014'!$C$21:$H$36,4)</f>
        <v>0.72958056997627041</v>
      </c>
      <c r="E177" s="1247">
        <f>VLOOKUP(MROUND(E31,5),'EmissRates MOVES2014'!$C$21:$H$36,4)</f>
        <v>0.72958056997627041</v>
      </c>
      <c r="F177" s="1247">
        <f>VLOOKUP(MROUND(F31,5),'EmissRates MOVES2014'!$Z$21:$AE$36,4)</f>
        <v>6.156934340843901E-2</v>
      </c>
      <c r="G177" s="1247">
        <f>VLOOKUP(MROUND(G31,5),'EmissRates MOVES2014'!$Z$21:$AE$36,4)</f>
        <v>6.156934340843901E-2</v>
      </c>
      <c r="H177" s="1247">
        <f>VLOOKUP(MROUND(H31,5),'EmissRates MOVES2014'!$Z$21:$AE$36,4)</f>
        <v>6.156934340843901E-2</v>
      </c>
      <c r="I177" s="1247">
        <f>VLOOKUP(MROUND(I31,5),'EmissRates MOVES2014'!$Z$21:$AE$36,4)</f>
        <v>5.8182850351051821E-2</v>
      </c>
      <c r="J177" s="1247">
        <f>VLOOKUP(MROUND(J31,5),'EmissRates MOVES2014'!$Z$21:$AE$36,4)</f>
        <v>5.8182850351051821E-2</v>
      </c>
      <c r="K177" s="1247">
        <f>VLOOKUP(MROUND(K31,5),'EmissRates MOVES2014'!$Z$21:$AE$36,4)</f>
        <v>5.8182850351051821E-2</v>
      </c>
      <c r="L177" s="1247">
        <f>VLOOKUP(MROUND(L31,5),'EmissRates MOVES2014'!$Z$21:$AE$36,4)</f>
        <v>5.8182850351051821E-2</v>
      </c>
      <c r="M177" s="1247">
        <f>VLOOKUP(MROUND(M31,5),'EmissRates MOVES2014'!$Z$21:$AE$36,4)</f>
        <v>5.8182850351051821E-2</v>
      </c>
      <c r="N177" s="1247">
        <f>VLOOKUP(MROUND(N31,5),'EmissRates MOVES2014'!$Z$21:$AE$36,4)</f>
        <v>5.8182850351051821E-2</v>
      </c>
      <c r="O177" s="1247">
        <f>VLOOKUP(MROUND(O31,5),'EmissRates MOVES2014'!$Z$21:$AE$36,4)</f>
        <v>5.8182850351051821E-2</v>
      </c>
      <c r="P177" s="1247">
        <f>VLOOKUP(MROUND(P31,5),'EmissRates MOVES2014'!$Z$21:$AE$36,4)</f>
        <v>5.8182850351051821E-2</v>
      </c>
      <c r="Q177" s="1247">
        <f>VLOOKUP(MROUND(Q31,5),'EmissRates MOVES2014'!$Z$21:$AE$36,4)</f>
        <v>5.8182850351051821E-2</v>
      </c>
      <c r="R177" s="1247">
        <f>VLOOKUP(MROUND(R31,5),'EmissRates MOVES2014'!$Z$21:$AE$36,4)</f>
        <v>5.3363985730839704E-2</v>
      </c>
      <c r="S177" s="1247">
        <f>VLOOKUP(MROUND(S31,5),'EmissRates MOVES2014'!$Z$21:$AE$36,4)</f>
        <v>5.3363985730839704E-2</v>
      </c>
      <c r="T177" s="1247">
        <f>VLOOKUP(MROUND(T31,5),'EmissRates MOVES2014'!$Z$21:$AE$36,4)</f>
        <v>5.3363985730839704E-2</v>
      </c>
      <c r="U177" s="1247">
        <f>VLOOKUP(MROUND(U31,5),'EmissRates MOVES2014'!$Z$21:$AE$36,4)</f>
        <v>5.3363985730839704E-2</v>
      </c>
      <c r="V177" s="1247">
        <f>VLOOKUP(MROUND(V31,5),'EmissRates MOVES2014'!$Z$21:$AE$36,4)</f>
        <v>5.3363985730839704E-2</v>
      </c>
      <c r="W177" s="1247">
        <f>VLOOKUP(MROUND(W31,5),'EmissRates MOVES2014'!$Z$21:$AE$36,4)</f>
        <v>5.3363985730839704E-2</v>
      </c>
      <c r="X177" s="1248">
        <f>VLOOKUP(MROUND(X31,5),'EmissRates MOVES2014'!$Z$21:$AE$36,4)</f>
        <v>5.3363985730839704E-2</v>
      </c>
    </row>
    <row r="178" spans="1:36" s="1066" customFormat="1" ht="20.100000000000001" customHeight="1" x14ac:dyDescent="0.35">
      <c r="A178" s="1064"/>
      <c r="B178" s="1076" t="s">
        <v>395</v>
      </c>
      <c r="C178" s="1165" t="s">
        <v>745</v>
      </c>
      <c r="D178" s="1652">
        <f>VLOOKUP(MROUND(D32,5),'EmissRates MOVES2014'!$C$21:$H$36,4)</f>
        <v>0.72958056997627041</v>
      </c>
      <c r="E178" s="1249">
        <f>VLOOKUP(MROUND(E32,5),'EmissRates MOVES2014'!$C$21:$H$36,4)</f>
        <v>0.72958056997627041</v>
      </c>
      <c r="F178" s="1249">
        <f>VLOOKUP(MROUND(F32,5),'EmissRates MOVES2014'!$Z$21:$AE$36,4)</f>
        <v>6.156934340843901E-2</v>
      </c>
      <c r="G178" s="1249">
        <f>VLOOKUP(MROUND(G32,5),'EmissRates MOVES2014'!$Z$21:$AE$36,4)</f>
        <v>6.156934340843901E-2</v>
      </c>
      <c r="H178" s="1249">
        <f>VLOOKUP(MROUND(H32,5),'EmissRates MOVES2014'!$Z$21:$AE$36,4)</f>
        <v>6.156934340843901E-2</v>
      </c>
      <c r="I178" s="1249">
        <f>VLOOKUP(MROUND(I32,5),'EmissRates MOVES2014'!$Z$21:$AE$36,4)</f>
        <v>5.8182850351051821E-2</v>
      </c>
      <c r="J178" s="1249">
        <f>VLOOKUP(MROUND(J32,5),'EmissRates MOVES2014'!$Z$21:$AE$36,4)</f>
        <v>5.8182850351051821E-2</v>
      </c>
      <c r="K178" s="1249">
        <f>VLOOKUP(MROUND(K32,5),'EmissRates MOVES2014'!$Z$21:$AE$36,4)</f>
        <v>5.8182850351051821E-2</v>
      </c>
      <c r="L178" s="1249">
        <f>VLOOKUP(MROUND(L32,5),'EmissRates MOVES2014'!$Z$21:$AE$36,4)</f>
        <v>5.8182850351051821E-2</v>
      </c>
      <c r="M178" s="1249">
        <f>VLOOKUP(MROUND(M32,5),'EmissRates MOVES2014'!$Z$21:$AE$36,4)</f>
        <v>5.8182850351051821E-2</v>
      </c>
      <c r="N178" s="1249">
        <f>VLOOKUP(MROUND(N32,5),'EmissRates MOVES2014'!$Z$21:$AE$36,4)</f>
        <v>5.8182850351051821E-2</v>
      </c>
      <c r="O178" s="1249">
        <f>VLOOKUP(MROUND(O32,5),'EmissRates MOVES2014'!$Z$21:$AE$36,4)</f>
        <v>5.8182850351051821E-2</v>
      </c>
      <c r="P178" s="1249">
        <f>VLOOKUP(MROUND(P32,5),'EmissRates MOVES2014'!$Z$21:$AE$36,4)</f>
        <v>5.8182850351051821E-2</v>
      </c>
      <c r="Q178" s="1249">
        <f>VLOOKUP(MROUND(Q32,5),'EmissRates MOVES2014'!$Z$21:$AE$36,4)</f>
        <v>5.8182850351051821E-2</v>
      </c>
      <c r="R178" s="1249">
        <f>VLOOKUP(MROUND(R32,5),'EmissRates MOVES2014'!$Z$21:$AE$36,4)</f>
        <v>5.3363985730839704E-2</v>
      </c>
      <c r="S178" s="1249">
        <f>VLOOKUP(MROUND(S32,5),'EmissRates MOVES2014'!$Z$21:$AE$36,4)</f>
        <v>5.3363985730839704E-2</v>
      </c>
      <c r="T178" s="1249">
        <f>VLOOKUP(MROUND(T32,5),'EmissRates MOVES2014'!$Z$21:$AE$36,4)</f>
        <v>5.3363985730839704E-2</v>
      </c>
      <c r="U178" s="1249">
        <f>VLOOKUP(MROUND(U32,5),'EmissRates MOVES2014'!$Z$21:$AE$36,4)</f>
        <v>5.3363985730839704E-2</v>
      </c>
      <c r="V178" s="1249">
        <f>VLOOKUP(MROUND(V32,5),'EmissRates MOVES2014'!$Z$21:$AE$36,4)</f>
        <v>5.3363985730839704E-2</v>
      </c>
      <c r="W178" s="1249">
        <f>VLOOKUP(MROUND(W32,5),'EmissRates MOVES2014'!$Z$21:$AE$36,4)</f>
        <v>5.3363985730839704E-2</v>
      </c>
      <c r="X178" s="1250">
        <f>VLOOKUP(MROUND(X32,5),'EmissRates MOVES2014'!$Z$21:$AE$36,4)</f>
        <v>5.3363985730839704E-2</v>
      </c>
    </row>
    <row r="179" spans="1:36" s="1066" customFormat="1" ht="20.100000000000001" customHeight="1" x14ac:dyDescent="0.35">
      <c r="A179" s="1064"/>
      <c r="B179" s="1076" t="s">
        <v>396</v>
      </c>
      <c r="C179" s="1165" t="s">
        <v>745</v>
      </c>
      <c r="D179" s="1652">
        <f>VLOOKUP(MROUND(D33,5),'EmissRates MOVES2014'!$C$21:$H$36,4)</f>
        <v>0.72958056997627041</v>
      </c>
      <c r="E179" s="1249">
        <f>VLOOKUP(MROUND(E33,5),'EmissRates MOVES2014'!$C$21:$H$36,4)</f>
        <v>0.72958056997627041</v>
      </c>
      <c r="F179" s="1249">
        <f>VLOOKUP(MROUND(F33,5),'EmissRates MOVES2014'!$Z$21:$AE$36,4)</f>
        <v>6.156934340843901E-2</v>
      </c>
      <c r="G179" s="1249">
        <f>VLOOKUP(MROUND(G33,5),'EmissRates MOVES2014'!$Z$21:$AE$36,4)</f>
        <v>6.156934340843901E-2</v>
      </c>
      <c r="H179" s="1249">
        <f>VLOOKUP(MROUND(H33,5),'EmissRates MOVES2014'!$Z$21:$AE$36,4)</f>
        <v>6.156934340843901E-2</v>
      </c>
      <c r="I179" s="1249">
        <f>VLOOKUP(MROUND(I33,5),'EmissRates MOVES2014'!$Z$21:$AE$36,4)</f>
        <v>5.8182850351051821E-2</v>
      </c>
      <c r="J179" s="1249">
        <f>VLOOKUP(MROUND(J33,5),'EmissRates MOVES2014'!$Z$21:$AE$36,4)</f>
        <v>5.8182850351051821E-2</v>
      </c>
      <c r="K179" s="1249">
        <f>VLOOKUP(MROUND(K33,5),'EmissRates MOVES2014'!$Z$21:$AE$36,4)</f>
        <v>5.8182850351051821E-2</v>
      </c>
      <c r="L179" s="1249">
        <f>VLOOKUP(MROUND(L33,5),'EmissRates MOVES2014'!$Z$21:$AE$36,4)</f>
        <v>5.8182850351051821E-2</v>
      </c>
      <c r="M179" s="1249">
        <f>VLOOKUP(MROUND(M33,5),'EmissRates MOVES2014'!$Z$21:$AE$36,4)</f>
        <v>5.8182850351051821E-2</v>
      </c>
      <c r="N179" s="1249">
        <f>VLOOKUP(MROUND(N33,5),'EmissRates MOVES2014'!$Z$21:$AE$36,4)</f>
        <v>5.8182850351051821E-2</v>
      </c>
      <c r="O179" s="1249">
        <f>VLOOKUP(MROUND(O33,5),'EmissRates MOVES2014'!$Z$21:$AE$36,4)</f>
        <v>5.8182850351051821E-2</v>
      </c>
      <c r="P179" s="1249">
        <f>VLOOKUP(MROUND(P33,5),'EmissRates MOVES2014'!$Z$21:$AE$36,4)</f>
        <v>5.8182850351051821E-2</v>
      </c>
      <c r="Q179" s="1249">
        <f>VLOOKUP(MROUND(Q33,5),'EmissRates MOVES2014'!$Z$21:$AE$36,4)</f>
        <v>5.8182850351051821E-2</v>
      </c>
      <c r="R179" s="1249">
        <f>VLOOKUP(MROUND(R33,5),'EmissRates MOVES2014'!$Z$21:$AE$36,4)</f>
        <v>5.3363985730839704E-2</v>
      </c>
      <c r="S179" s="1249">
        <f>VLOOKUP(MROUND(S33,5),'EmissRates MOVES2014'!$Z$21:$AE$36,4)</f>
        <v>5.3363985730839704E-2</v>
      </c>
      <c r="T179" s="1249">
        <f>VLOOKUP(MROUND(T33,5),'EmissRates MOVES2014'!$Z$21:$AE$36,4)</f>
        <v>5.3363985730839704E-2</v>
      </c>
      <c r="U179" s="1249">
        <f>VLOOKUP(MROUND(U33,5),'EmissRates MOVES2014'!$Z$21:$AE$36,4)</f>
        <v>5.3363985730839704E-2</v>
      </c>
      <c r="V179" s="1249">
        <f>VLOOKUP(MROUND(V33,5),'EmissRates MOVES2014'!$Z$21:$AE$36,4)</f>
        <v>5.3363985730839704E-2</v>
      </c>
      <c r="W179" s="1249">
        <f>VLOOKUP(MROUND(W33,5),'EmissRates MOVES2014'!$Z$21:$AE$36,4)</f>
        <v>5.3363985730839704E-2</v>
      </c>
      <c r="X179" s="1250">
        <f>VLOOKUP(MROUND(X33,5),'EmissRates MOVES2014'!$Z$21:$AE$36,4)</f>
        <v>5.3363985730839704E-2</v>
      </c>
    </row>
    <row r="180" spans="1:36" s="1066" customFormat="1" ht="20.100000000000001" customHeight="1" thickBot="1" x14ac:dyDescent="0.4">
      <c r="A180" s="1064"/>
      <c r="B180" s="1081" t="s">
        <v>140</v>
      </c>
      <c r="C180" s="1167" t="s">
        <v>745</v>
      </c>
      <c r="D180" s="1653">
        <f>VLOOKUP(MROUND(D34,5),'EmissRates MOVES2014'!$C$21:$U$36,4)</f>
        <v>0.72958056997627041</v>
      </c>
      <c r="E180" s="1251">
        <f>VLOOKUP(MROUND(E34,5),'EmissRates MOVES2014'!$C$21:$U$36,4)</f>
        <v>0.72958056997627041</v>
      </c>
      <c r="F180" s="1251">
        <f>VLOOKUP(MROUND(F34,5),'EmissRates MOVES2014'!$Z$21:$AR$36,19)</f>
        <v>0.42058668943325417</v>
      </c>
      <c r="G180" s="1251">
        <f>VLOOKUP(MROUND(G34,5),'EmissRates MOVES2014'!$Z$21:$AR$36,19)</f>
        <v>0.42058668943325417</v>
      </c>
      <c r="H180" s="1251">
        <f>VLOOKUP(MROUND(H34,5),'EmissRates MOVES2014'!$Z$21:$AR$36,19)</f>
        <v>0.42058668943325417</v>
      </c>
      <c r="I180" s="1251">
        <f>VLOOKUP(MROUND(I34,5),'EmissRates MOVES2014'!$Z$21:$AR$36,19)</f>
        <v>0.42058668943325417</v>
      </c>
      <c r="J180" s="1251">
        <f>VLOOKUP(MROUND(J34,5),'EmissRates MOVES2014'!$Z$21:$AR$36,19)</f>
        <v>0.43632858872103825</v>
      </c>
      <c r="K180" s="1251">
        <f>VLOOKUP(MROUND(K34,5),'EmissRates MOVES2014'!$Z$21:$AR$36,19)</f>
        <v>0.43632858872103825</v>
      </c>
      <c r="L180" s="1251">
        <f>VLOOKUP(MROUND(L34,5),'EmissRates MOVES2014'!$Z$21:$AR$36,19)</f>
        <v>0.43632858872103825</v>
      </c>
      <c r="M180" s="1251">
        <f>VLOOKUP(MROUND(M34,5),'EmissRates MOVES2014'!$Z$21:$AR$36,19)</f>
        <v>0.43632858872103825</v>
      </c>
      <c r="N180" s="1251">
        <f>VLOOKUP(MROUND(N34,5),'EmissRates MOVES2014'!$Z$21:$AR$36,19)</f>
        <v>0.43632858872103825</v>
      </c>
      <c r="O180" s="1251">
        <f>VLOOKUP(MROUND(O34,5),'EmissRates MOVES2014'!$Z$21:$AR$36,19)</f>
        <v>0.43632858872103825</v>
      </c>
      <c r="P180" s="1251">
        <f>VLOOKUP(MROUND(P34,5),'EmissRates MOVES2014'!$Z$21:$AR$36,19)</f>
        <v>0.43632858872103825</v>
      </c>
      <c r="Q180" s="1251">
        <f>VLOOKUP(MROUND(Q34,5),'EmissRates MOVES2014'!$Z$21:$AR$36,19)</f>
        <v>0.43632858872103825</v>
      </c>
      <c r="R180" s="1251">
        <f>VLOOKUP(MROUND(R34,5),'EmissRates MOVES2014'!$Z$21:$AR$36,19)</f>
        <v>0.43632858872103825</v>
      </c>
      <c r="S180" s="1251">
        <f>VLOOKUP(MROUND(S34,5),'EmissRates MOVES2014'!$Z$21:$AR$36,19)</f>
        <v>0.43632858872103825</v>
      </c>
      <c r="T180" s="1251">
        <f>VLOOKUP(MROUND(T34,5),'EmissRates MOVES2014'!$Z$21:$AR$36,19)</f>
        <v>0.43632858872103825</v>
      </c>
      <c r="U180" s="1251">
        <f>VLOOKUP(MROUND(U34,5),'EmissRates MOVES2014'!$Z$21:$AR$36,19)</f>
        <v>0.43632858872103825</v>
      </c>
      <c r="V180" s="1251">
        <f>VLOOKUP(MROUND(V34,5),'EmissRates MOVES2014'!$Z$21:$AR$36,19)</f>
        <v>0.45692822710896652</v>
      </c>
      <c r="W180" s="1251">
        <f>VLOOKUP(MROUND(W34,5),'EmissRates MOVES2014'!$Z$21:$AR$36,19)</f>
        <v>0.45692822710896652</v>
      </c>
      <c r="X180" s="1654">
        <f>VLOOKUP(MROUND(X34,5),'EmissRates MOVES2014'!$Z$21:$AR$36,19)</f>
        <v>0.45692822710896652</v>
      </c>
    </row>
    <row r="181" spans="1:36" s="1066" customFormat="1" ht="20.100000000000001" customHeight="1" x14ac:dyDescent="0.25">
      <c r="A181" s="1064"/>
      <c r="C181" s="1090"/>
    </row>
    <row r="182" spans="1:36" s="1066" customFormat="1" ht="33.75" customHeight="1" x14ac:dyDescent="0.25">
      <c r="A182" s="1064"/>
      <c r="B182" s="1116" t="s">
        <v>325</v>
      </c>
      <c r="C182" s="1116"/>
      <c r="D182" s="1116"/>
      <c r="E182" s="1116"/>
      <c r="F182" s="1116"/>
      <c r="G182" s="1116"/>
      <c r="H182" s="1116"/>
      <c r="I182" s="1116"/>
      <c r="J182" s="1116"/>
      <c r="K182" s="1116"/>
      <c r="L182" s="1116"/>
      <c r="M182" s="1116"/>
      <c r="N182" s="1116"/>
      <c r="O182" s="1116"/>
      <c r="P182" s="1116"/>
      <c r="Q182" s="1116"/>
      <c r="R182" s="1116"/>
      <c r="S182" s="1116"/>
      <c r="T182" s="1116"/>
      <c r="U182" s="1116"/>
      <c r="V182" s="1116"/>
      <c r="W182" s="1116"/>
      <c r="X182" s="1116"/>
    </row>
    <row r="183" spans="1:36" s="1117" customFormat="1" ht="23.25" customHeight="1" x14ac:dyDescent="0.25">
      <c r="A183" s="1114"/>
      <c r="B183" s="1121" t="s">
        <v>322</v>
      </c>
      <c r="C183" s="1121"/>
      <c r="D183" s="1121"/>
      <c r="E183" s="1121"/>
      <c r="F183" s="1121"/>
      <c r="G183" s="1121"/>
      <c r="H183" s="1121"/>
      <c r="I183" s="1121"/>
      <c r="J183" s="1121"/>
      <c r="K183" s="1121"/>
      <c r="L183" s="1121"/>
      <c r="M183" s="1121"/>
    </row>
    <row r="184" spans="1:36" s="1117" customFormat="1" ht="30" customHeight="1" x14ac:dyDescent="0.25">
      <c r="A184" s="1114"/>
      <c r="B184" s="1121" t="s">
        <v>323</v>
      </c>
      <c r="C184" s="1121"/>
      <c r="D184" s="1127"/>
      <c r="E184" s="1127"/>
      <c r="F184" s="1221">
        <v>907184.7</v>
      </c>
      <c r="G184" s="1121" t="s">
        <v>312</v>
      </c>
      <c r="L184" s="1121"/>
      <c r="Z184" s="1114"/>
      <c r="AA184" s="1114"/>
      <c r="AB184" s="1114"/>
      <c r="AC184" s="1114"/>
      <c r="AD184" s="1114"/>
      <c r="AE184" s="1114"/>
      <c r="AF184" s="1114"/>
      <c r="AG184" s="1114"/>
      <c r="AH184" s="1114"/>
      <c r="AI184" s="1114"/>
      <c r="AJ184" s="1114"/>
    </row>
    <row r="185" spans="1:36" s="1066" customFormat="1" ht="20.100000000000001" customHeight="1" x14ac:dyDescent="0.25">
      <c r="A185" s="1064"/>
      <c r="C185" s="1090"/>
      <c r="D185" s="1090"/>
      <c r="E185" s="1090"/>
      <c r="G185" s="1090"/>
      <c r="H185" s="1090"/>
      <c r="I185" s="1090"/>
      <c r="Z185" s="1064"/>
      <c r="AA185" s="1064"/>
      <c r="AB185" s="1064"/>
      <c r="AC185" s="1064"/>
      <c r="AD185" s="1064"/>
      <c r="AE185" s="1064"/>
      <c r="AF185" s="1064"/>
      <c r="AG185" s="1064"/>
      <c r="AH185" s="1064"/>
      <c r="AI185" s="1064"/>
      <c r="AJ185" s="1064"/>
    </row>
    <row r="186" spans="1:36" s="1066" customFormat="1" ht="33" customHeight="1" thickBot="1" x14ac:dyDescent="0.55000000000000004">
      <c r="A186" s="1064"/>
      <c r="C186" s="1252"/>
      <c r="D186" s="1840" t="s">
        <v>747</v>
      </c>
      <c r="E186" s="1840"/>
      <c r="F186" s="1840"/>
      <c r="G186" s="1840"/>
      <c r="H186" s="1840"/>
      <c r="I186" s="1840"/>
      <c r="J186" s="1840"/>
      <c r="K186" s="1840"/>
      <c r="L186" s="1840"/>
      <c r="M186" s="1840"/>
      <c r="N186" s="1840"/>
      <c r="O186" s="1840"/>
      <c r="P186" s="1840"/>
      <c r="Q186" s="1840"/>
      <c r="R186" s="1840"/>
      <c r="S186" s="1840"/>
      <c r="T186" s="1840"/>
      <c r="U186" s="1840"/>
      <c r="V186" s="1840"/>
      <c r="W186" s="1840"/>
      <c r="X186" s="1840"/>
      <c r="Z186" s="1111"/>
      <c r="AA186" s="1111"/>
      <c r="AB186" s="1111"/>
      <c r="AC186" s="1111"/>
      <c r="AD186" s="1111"/>
      <c r="AE186" s="1111"/>
      <c r="AF186" s="1111"/>
      <c r="AG186" s="1064"/>
      <c r="AH186" s="1064"/>
      <c r="AI186" s="1064"/>
      <c r="AJ186" s="1064"/>
    </row>
    <row r="187" spans="1:36" s="1066" customFormat="1" ht="20.100000000000001" customHeight="1" thickBot="1" x14ac:dyDescent="0.3">
      <c r="A187" s="1064"/>
      <c r="B187" s="1090"/>
      <c r="C187" s="1197" t="s">
        <v>117</v>
      </c>
      <c r="D187" s="712">
        <v>2023</v>
      </c>
      <c r="E187" s="417">
        <f>D187+1</f>
        <v>2024</v>
      </c>
      <c r="F187" s="417">
        <f t="shared" ref="F187:X187" si="91">E187+1</f>
        <v>2025</v>
      </c>
      <c r="G187" s="417">
        <f t="shared" si="91"/>
        <v>2026</v>
      </c>
      <c r="H187" s="417">
        <f t="shared" si="91"/>
        <v>2027</v>
      </c>
      <c r="I187" s="417">
        <f t="shared" si="91"/>
        <v>2028</v>
      </c>
      <c r="J187" s="417">
        <f t="shared" si="91"/>
        <v>2029</v>
      </c>
      <c r="K187" s="417">
        <f t="shared" si="91"/>
        <v>2030</v>
      </c>
      <c r="L187" s="417">
        <f t="shared" si="91"/>
        <v>2031</v>
      </c>
      <c r="M187" s="417">
        <f t="shared" si="91"/>
        <v>2032</v>
      </c>
      <c r="N187" s="417">
        <f t="shared" si="91"/>
        <v>2033</v>
      </c>
      <c r="O187" s="417">
        <f t="shared" si="91"/>
        <v>2034</v>
      </c>
      <c r="P187" s="417">
        <f t="shared" si="91"/>
        <v>2035</v>
      </c>
      <c r="Q187" s="417">
        <f t="shared" si="91"/>
        <v>2036</v>
      </c>
      <c r="R187" s="417">
        <f t="shared" si="91"/>
        <v>2037</v>
      </c>
      <c r="S187" s="417">
        <f t="shared" si="91"/>
        <v>2038</v>
      </c>
      <c r="T187" s="417">
        <f t="shared" si="91"/>
        <v>2039</v>
      </c>
      <c r="U187" s="417">
        <f t="shared" si="91"/>
        <v>2040</v>
      </c>
      <c r="V187" s="417">
        <f t="shared" si="91"/>
        <v>2041</v>
      </c>
      <c r="W187" s="417">
        <f t="shared" si="91"/>
        <v>2042</v>
      </c>
      <c r="X187" s="713">
        <f t="shared" si="91"/>
        <v>2043</v>
      </c>
      <c r="Z187" s="1064"/>
      <c r="AA187" s="1064"/>
      <c r="AB187" s="1064"/>
      <c r="AC187" s="1064"/>
      <c r="AD187" s="1064"/>
      <c r="AE187" s="1064"/>
      <c r="AF187" s="1064"/>
      <c r="AG187" s="1064"/>
      <c r="AH187" s="1064"/>
      <c r="AI187" s="1064"/>
      <c r="AJ187" s="1064"/>
    </row>
    <row r="188" spans="1:36" s="1066" customFormat="1" ht="20.100000000000001" customHeight="1" x14ac:dyDescent="0.35">
      <c r="A188" s="1064"/>
      <c r="B188" s="1222" t="s">
        <v>287</v>
      </c>
      <c r="C188" s="1159" t="s">
        <v>745</v>
      </c>
      <c r="D188" s="1253">
        <f t="shared" ref="D188:H188" si="92">D7*D170/$F$184</f>
        <v>255.79919619721204</v>
      </c>
      <c r="E188" s="1253">
        <f t="shared" si="92"/>
        <v>257.94888332104966</v>
      </c>
      <c r="F188" s="1253">
        <f t="shared" si="92"/>
        <v>19.632304538949001</v>
      </c>
      <c r="G188" s="1253">
        <f t="shared" si="92"/>
        <v>19.797290640962007</v>
      </c>
      <c r="H188" s="1253">
        <f t="shared" si="92"/>
        <v>19.96366325436513</v>
      </c>
      <c r="I188" s="1253">
        <f t="shared" ref="I188:X188" si="93">I7*I170/$F$184</f>
        <v>20.131434031132752</v>
      </c>
      <c r="J188" s="1253">
        <f t="shared" si="93"/>
        <v>17.7580420031336</v>
      </c>
      <c r="K188" s="1253">
        <f t="shared" si="93"/>
        <v>17.907277164174815</v>
      </c>
      <c r="L188" s="1253">
        <f t="shared" si="93"/>
        <v>18.057766468735181</v>
      </c>
      <c r="M188" s="1253">
        <f t="shared" si="93"/>
        <v>18.209520456395015</v>
      </c>
      <c r="N188" s="1253">
        <f t="shared" si="93"/>
        <v>18.362549755307242</v>
      </c>
      <c r="O188" s="1253">
        <f t="shared" si="93"/>
        <v>17.470215644817184</v>
      </c>
      <c r="P188" s="1253">
        <f t="shared" si="93"/>
        <v>17.617031968639314</v>
      </c>
      <c r="Q188" s="1253">
        <f t="shared" si="93"/>
        <v>17.765082108538984</v>
      </c>
      <c r="R188" s="1253">
        <f t="shared" si="93"/>
        <v>17.914376433268618</v>
      </c>
      <c r="S188" s="1253">
        <f t="shared" si="93"/>
        <v>18.064925398717623</v>
      </c>
      <c r="T188" s="1253">
        <f t="shared" si="93"/>
        <v>18.216739548644703</v>
      </c>
      <c r="U188" s="1253">
        <f t="shared" si="93"/>
        <v>18.369829515416274</v>
      </c>
      <c r="V188" s="1253">
        <f t="shared" si="93"/>
        <v>18.089543478901003</v>
      </c>
      <c r="W188" s="1253">
        <f t="shared" si="93"/>
        <v>18.241564514427303</v>
      </c>
      <c r="X188" s="1254">
        <f t="shared" si="93"/>
        <v>18.394863105424776</v>
      </c>
      <c r="Z188" s="1064"/>
      <c r="AA188" s="1064"/>
      <c r="AB188" s="1064"/>
      <c r="AC188" s="1064"/>
      <c r="AD188" s="1064"/>
      <c r="AE188" s="1064"/>
      <c r="AF188" s="1064"/>
      <c r="AG188" s="1064"/>
      <c r="AH188" s="1064"/>
      <c r="AI188" s="1064"/>
      <c r="AJ188" s="1064"/>
    </row>
    <row r="189" spans="1:36" s="1066" customFormat="1" ht="20.100000000000001" customHeight="1" x14ac:dyDescent="0.35">
      <c r="A189" s="1064"/>
      <c r="B189" s="1225" t="s">
        <v>288</v>
      </c>
      <c r="C189" s="1165" t="s">
        <v>745</v>
      </c>
      <c r="D189" s="1253">
        <f t="shared" ref="D189:H189" si="94">D8*D171/$F$184</f>
        <v>138.58328267487457</v>
      </c>
      <c r="E189" s="1253">
        <f t="shared" si="94"/>
        <v>138.69202792456522</v>
      </c>
      <c r="F189" s="1253">
        <f t="shared" si="94"/>
        <v>10.475995562404506</v>
      </c>
      <c r="G189" s="1253">
        <f t="shared" si="94"/>
        <v>10.484215996581007</v>
      </c>
      <c r="H189" s="1253">
        <f t="shared" si="94"/>
        <v>10.49244288126979</v>
      </c>
      <c r="I189" s="1253">
        <f t="shared" ref="I189:X189" si="95">I8*I171/$F$184</f>
        <v>10.500676221532524</v>
      </c>
      <c r="J189" s="1253">
        <f t="shared" si="95"/>
        <v>9.1927153289245958</v>
      </c>
      <c r="K189" s="1253">
        <f t="shared" si="95"/>
        <v>9.1999287828454719</v>
      </c>
      <c r="L189" s="1253">
        <f t="shared" si="95"/>
        <v>9.2071478971088734</v>
      </c>
      <c r="M189" s="1253">
        <f t="shared" si="95"/>
        <v>9.2143726761564224</v>
      </c>
      <c r="N189" s="1253">
        <f t="shared" si="95"/>
        <v>9.2216031244332388</v>
      </c>
      <c r="O189" s="1253">
        <f t="shared" si="95"/>
        <v>8.7071872621828668</v>
      </c>
      <c r="P189" s="1253">
        <f t="shared" si="95"/>
        <v>8.714019725916252</v>
      </c>
      <c r="Q189" s="1253">
        <f t="shared" si="95"/>
        <v>8.7208575510320543</v>
      </c>
      <c r="R189" s="1253">
        <f t="shared" si="95"/>
        <v>8.7277007417373049</v>
      </c>
      <c r="S189" s="1253">
        <f t="shared" si="95"/>
        <v>8.7345493022423408</v>
      </c>
      <c r="T189" s="1253">
        <f t="shared" si="95"/>
        <v>8.7414032367608083</v>
      </c>
      <c r="U189" s="1253">
        <f t="shared" si="95"/>
        <v>8.7482625495096542</v>
      </c>
      <c r="V189" s="1253">
        <f t="shared" si="95"/>
        <v>8.5496919424811555</v>
      </c>
      <c r="W189" s="1253">
        <f t="shared" si="95"/>
        <v>8.5564008208329909</v>
      </c>
      <c r="X189" s="1254">
        <f t="shared" si="95"/>
        <v>8.563114963590726</v>
      </c>
      <c r="Z189" s="1064"/>
      <c r="AA189" s="1064"/>
      <c r="AB189" s="1064"/>
      <c r="AC189" s="1064"/>
      <c r="AD189" s="1064"/>
      <c r="AE189" s="1064"/>
      <c r="AF189" s="1064"/>
      <c r="AG189" s="1064"/>
      <c r="AH189" s="1064"/>
      <c r="AI189" s="1064"/>
      <c r="AJ189" s="1064"/>
    </row>
    <row r="190" spans="1:36" s="1066" customFormat="1" ht="20.100000000000001" customHeight="1" x14ac:dyDescent="0.35">
      <c r="A190" s="1064"/>
      <c r="B190" s="1225" t="s">
        <v>289</v>
      </c>
      <c r="C190" s="1165" t="s">
        <v>745</v>
      </c>
      <c r="D190" s="1253">
        <f t="shared" ref="D190:H190" si="96">D9*D172/$F$184</f>
        <v>84.188722759953393</v>
      </c>
      <c r="E190" s="1253">
        <f t="shared" si="96"/>
        <v>84.887787338985206</v>
      </c>
      <c r="F190" s="1253">
        <f t="shared" si="96"/>
        <v>6.4601062319248825</v>
      </c>
      <c r="G190" s="1253">
        <f t="shared" si="96"/>
        <v>6.5137479940929328</v>
      </c>
      <c r="H190" s="1253">
        <f t="shared" si="96"/>
        <v>6.5678351728756947</v>
      </c>
      <c r="I190" s="1253">
        <f t="shared" ref="I190:X190" si="97">I9*I172/$F$184</f>
        <v>6.6223714668086462</v>
      </c>
      <c r="J190" s="1253">
        <f t="shared" si="97"/>
        <v>5.8410472650621879</v>
      </c>
      <c r="K190" s="1253">
        <f t="shared" si="97"/>
        <v>5.8895486452185084</v>
      </c>
      <c r="L190" s="1253">
        <f t="shared" si="97"/>
        <v>5.9384527586126072</v>
      </c>
      <c r="M190" s="1253">
        <f t="shared" si="97"/>
        <v>5.9877629493567577</v>
      </c>
      <c r="N190" s="1253">
        <f t="shared" si="97"/>
        <v>6.0374825893312165</v>
      </c>
      <c r="O190" s="1253">
        <f t="shared" si="97"/>
        <v>5.7435180148567033</v>
      </c>
      <c r="P190" s="1253">
        <f t="shared" si="97"/>
        <v>5.7912095568066349</v>
      </c>
      <c r="Q190" s="1253">
        <f t="shared" si="97"/>
        <v>5.8392971074689406</v>
      </c>
      <c r="R190" s="1253">
        <f t="shared" si="97"/>
        <v>5.8877839551185174</v>
      </c>
      <c r="S190" s="1253">
        <f t="shared" si="97"/>
        <v>5.9366734153345941</v>
      </c>
      <c r="T190" s="1253">
        <f t="shared" si="97"/>
        <v>5.9859688312274502</v>
      </c>
      <c r="U190" s="1253">
        <f t="shared" si="97"/>
        <v>6.0356735736670162</v>
      </c>
      <c r="V190" s="1253">
        <f t="shared" si="97"/>
        <v>5.9429905673495007</v>
      </c>
      <c r="W190" s="1253">
        <f t="shared" si="97"/>
        <v>5.9923384379782059</v>
      </c>
      <c r="X190" s="1254">
        <f t="shared" si="97"/>
        <v>6.0420960707137157</v>
      </c>
      <c r="Z190" s="1064"/>
      <c r="AA190" s="1064"/>
      <c r="AB190" s="1064"/>
      <c r="AC190" s="1064"/>
      <c r="AD190" s="1064"/>
      <c r="AE190" s="1064"/>
      <c r="AF190" s="1064"/>
      <c r="AG190" s="1064"/>
      <c r="AH190" s="1064"/>
      <c r="AI190" s="1064"/>
      <c r="AJ190" s="1064"/>
    </row>
    <row r="191" spans="1:36" s="1066" customFormat="1" ht="20.100000000000001" customHeight="1" thickBot="1" x14ac:dyDescent="0.4">
      <c r="A191" s="1064"/>
      <c r="B191" s="1228" t="s">
        <v>140</v>
      </c>
      <c r="C191" s="1167" t="s">
        <v>745</v>
      </c>
      <c r="D191" s="1255">
        <f t="shared" ref="D191:H191" si="98">D10*D173/$F$184</f>
        <v>314.71072655389958</v>
      </c>
      <c r="E191" s="1255">
        <f t="shared" si="98"/>
        <v>326.29522235777654</v>
      </c>
      <c r="F191" s="1255">
        <f t="shared" si="98"/>
        <v>24.245556641456698</v>
      </c>
      <c r="G191" s="1255">
        <f t="shared" si="98"/>
        <v>24.404426442541123</v>
      </c>
      <c r="H191" s="1255">
        <f t="shared" si="98"/>
        <v>24.564337243181473</v>
      </c>
      <c r="I191" s="1255">
        <f t="shared" ref="I191:X191" si="99">I10*I173/$F$184</f>
        <v>24.725295864561282</v>
      </c>
      <c r="J191" s="1255">
        <f t="shared" si="99"/>
        <v>28.691442592858884</v>
      </c>
      <c r="K191" s="1255">
        <f t="shared" si="99"/>
        <v>28.879444206719914</v>
      </c>
      <c r="L191" s="1255">
        <f t="shared" si="99"/>
        <v>29.068677707290711</v>
      </c>
      <c r="M191" s="1255">
        <f t="shared" si="99"/>
        <v>29.259151166549156</v>
      </c>
      <c r="N191" s="1255">
        <f t="shared" si="99"/>
        <v>29.450872709365001</v>
      </c>
      <c r="O191" s="1255">
        <f t="shared" si="99"/>
        <v>31.096615333488899</v>
      </c>
      <c r="P191" s="1255">
        <f t="shared" si="99"/>
        <v>31.300376920219513</v>
      </c>
      <c r="Q191" s="1255">
        <f t="shared" si="99"/>
        <v>31.505473661396429</v>
      </c>
      <c r="R191" s="1255">
        <f t="shared" si="99"/>
        <v>31.711914305662706</v>
      </c>
      <c r="S191" s="1255">
        <f t="shared" si="99"/>
        <v>31.919707658987193</v>
      </c>
      <c r="T191" s="1255">
        <f t="shared" si="99"/>
        <v>32.128862585040139</v>
      </c>
      <c r="U191" s="1255">
        <f t="shared" si="99"/>
        <v>35.946782488955215</v>
      </c>
      <c r="V191" s="1255">
        <f t="shared" si="99"/>
        <v>36.182324954244748</v>
      </c>
      <c r="W191" s="1255">
        <f t="shared" si="99"/>
        <v>36.419410819224403</v>
      </c>
      <c r="X191" s="1256">
        <f t="shared" si="99"/>
        <v>36.658050197071034</v>
      </c>
      <c r="Z191" s="1064"/>
      <c r="AA191" s="1064"/>
      <c r="AB191" s="1064"/>
      <c r="AC191" s="1064"/>
      <c r="AD191" s="1064"/>
      <c r="AE191" s="1064"/>
      <c r="AF191" s="1064"/>
      <c r="AG191" s="1064"/>
      <c r="AH191" s="1064"/>
      <c r="AI191" s="1064"/>
      <c r="AJ191" s="1064"/>
    </row>
    <row r="192" spans="1:36" s="1066" customFormat="1" ht="20.100000000000001" customHeight="1" x14ac:dyDescent="0.2">
      <c r="A192" s="1064"/>
      <c r="B192" s="1231"/>
      <c r="C192" s="1095"/>
      <c r="D192" s="1133"/>
      <c r="E192" s="1133"/>
      <c r="F192" s="1133"/>
      <c r="G192" s="1133"/>
      <c r="H192" s="1133"/>
      <c r="I192" s="1133"/>
      <c r="J192" s="1133"/>
      <c r="K192" s="1133"/>
      <c r="L192" s="1133"/>
      <c r="M192" s="1133"/>
      <c r="N192" s="1133"/>
      <c r="O192" s="1133"/>
      <c r="P192" s="1133"/>
      <c r="Q192" s="1133"/>
      <c r="R192" s="1133"/>
      <c r="S192" s="1133"/>
      <c r="T192" s="1133"/>
      <c r="U192" s="1133"/>
      <c r="V192" s="1133"/>
      <c r="W192" s="1133"/>
      <c r="X192" s="1133"/>
      <c r="Z192" s="1064"/>
      <c r="AA192" s="1064"/>
      <c r="AB192" s="1064"/>
      <c r="AC192" s="1064"/>
      <c r="AD192" s="1064"/>
      <c r="AE192" s="1064"/>
      <c r="AF192" s="1064"/>
      <c r="AG192" s="1064"/>
      <c r="AH192" s="1064"/>
      <c r="AI192" s="1064"/>
      <c r="AJ192" s="1064"/>
    </row>
    <row r="193" spans="1:36" s="1066" customFormat="1" ht="24.75" customHeight="1" thickBot="1" x14ac:dyDescent="0.55000000000000004">
      <c r="A193" s="1064"/>
      <c r="C193" s="1252"/>
      <c r="D193" s="1840" t="s">
        <v>748</v>
      </c>
      <c r="E193" s="1840"/>
      <c r="F193" s="1840"/>
      <c r="G193" s="1840"/>
      <c r="H193" s="1840"/>
      <c r="I193" s="1840"/>
      <c r="J193" s="1840"/>
      <c r="K193" s="1840"/>
      <c r="L193" s="1840"/>
      <c r="M193" s="1840"/>
      <c r="N193" s="1840"/>
      <c r="O193" s="1840"/>
      <c r="P193" s="1840"/>
      <c r="Q193" s="1840"/>
      <c r="R193" s="1840"/>
      <c r="S193" s="1840"/>
      <c r="T193" s="1840"/>
      <c r="U193" s="1840"/>
      <c r="V193" s="1840"/>
      <c r="W193" s="1840"/>
      <c r="X193" s="1840"/>
      <c r="Z193" s="1111"/>
      <c r="AA193" s="1111"/>
      <c r="AB193" s="1111"/>
      <c r="AC193" s="1111"/>
      <c r="AD193" s="1111"/>
      <c r="AE193" s="1111"/>
      <c r="AF193" s="1111"/>
      <c r="AG193" s="1064"/>
      <c r="AH193" s="1064"/>
      <c r="AI193" s="1064"/>
      <c r="AJ193" s="1064"/>
    </row>
    <row r="194" spans="1:36" s="1066" customFormat="1" ht="20.100000000000001" customHeight="1" thickBot="1" x14ac:dyDescent="0.3">
      <c r="A194" s="1064"/>
      <c r="B194" s="1090"/>
      <c r="C194" s="1193" t="s">
        <v>117</v>
      </c>
      <c r="D194" s="712">
        <v>2023</v>
      </c>
      <c r="E194" s="417">
        <f>D194+1</f>
        <v>2024</v>
      </c>
      <c r="F194" s="417">
        <f t="shared" ref="F194:X194" si="100">E194+1</f>
        <v>2025</v>
      </c>
      <c r="G194" s="417">
        <f t="shared" si="100"/>
        <v>2026</v>
      </c>
      <c r="H194" s="417">
        <f t="shared" si="100"/>
        <v>2027</v>
      </c>
      <c r="I194" s="417">
        <f t="shared" si="100"/>
        <v>2028</v>
      </c>
      <c r="J194" s="417">
        <f t="shared" si="100"/>
        <v>2029</v>
      </c>
      <c r="K194" s="417">
        <f t="shared" si="100"/>
        <v>2030</v>
      </c>
      <c r="L194" s="417">
        <f t="shared" si="100"/>
        <v>2031</v>
      </c>
      <c r="M194" s="417">
        <f t="shared" si="100"/>
        <v>2032</v>
      </c>
      <c r="N194" s="417">
        <f t="shared" si="100"/>
        <v>2033</v>
      </c>
      <c r="O194" s="417">
        <f t="shared" si="100"/>
        <v>2034</v>
      </c>
      <c r="P194" s="417">
        <f t="shared" si="100"/>
        <v>2035</v>
      </c>
      <c r="Q194" s="417">
        <f t="shared" si="100"/>
        <v>2036</v>
      </c>
      <c r="R194" s="417">
        <f t="shared" si="100"/>
        <v>2037</v>
      </c>
      <c r="S194" s="417">
        <f t="shared" si="100"/>
        <v>2038</v>
      </c>
      <c r="T194" s="417">
        <f t="shared" si="100"/>
        <v>2039</v>
      </c>
      <c r="U194" s="417">
        <f t="shared" si="100"/>
        <v>2040</v>
      </c>
      <c r="V194" s="417">
        <f t="shared" si="100"/>
        <v>2041</v>
      </c>
      <c r="W194" s="417">
        <f t="shared" si="100"/>
        <v>2042</v>
      </c>
      <c r="X194" s="713">
        <f t="shared" si="100"/>
        <v>2043</v>
      </c>
      <c r="Z194" s="1064"/>
      <c r="AA194" s="1064"/>
      <c r="AB194" s="1064"/>
      <c r="AC194" s="1064"/>
      <c r="AD194" s="1064"/>
      <c r="AE194" s="1064"/>
      <c r="AF194" s="1064"/>
      <c r="AG194" s="1064"/>
      <c r="AH194" s="1064"/>
      <c r="AI194" s="1064"/>
      <c r="AJ194" s="1064"/>
    </row>
    <row r="195" spans="1:36" s="1066" customFormat="1" ht="20.100000000000001" customHeight="1" x14ac:dyDescent="0.35">
      <c r="A195" s="1064"/>
      <c r="B195" s="1232" t="s">
        <v>287</v>
      </c>
      <c r="C195" s="1159" t="s">
        <v>745</v>
      </c>
      <c r="D195" s="1257">
        <f t="shared" ref="D195:H195" si="101">D16*D177/$F$184</f>
        <v>305.16220344318651</v>
      </c>
      <c r="E195" s="1257">
        <f t="shared" si="101"/>
        <v>308.3535668369309</v>
      </c>
      <c r="F195" s="1257">
        <f t="shared" si="101"/>
        <v>26.294109883389211</v>
      </c>
      <c r="G195" s="1257">
        <f t="shared" si="101"/>
        <v>26.569091708812316</v>
      </c>
      <c r="H195" s="1257">
        <f t="shared" si="101"/>
        <v>26.846949273503569</v>
      </c>
      <c r="I195" s="1257">
        <f t="shared" ref="I195:X195" si="102">I16*I177/$F$184</f>
        <v>25.635609512858579</v>
      </c>
      <c r="J195" s="1257">
        <f t="shared" si="102"/>
        <v>25.903704790886323</v>
      </c>
      <c r="K195" s="1257">
        <f t="shared" si="102"/>
        <v>26.174603789187032</v>
      </c>
      <c r="L195" s="1257">
        <f t="shared" si="102"/>
        <v>26.448335828856639</v>
      </c>
      <c r="M195" s="1257">
        <f t="shared" si="102"/>
        <v>26.724930537628904</v>
      </c>
      <c r="N195" s="1257">
        <f t="shared" si="102"/>
        <v>27.004417853082206</v>
      </c>
      <c r="O195" s="1257">
        <f t="shared" si="102"/>
        <v>27.286828025879863</v>
      </c>
      <c r="P195" s="1257">
        <f t="shared" si="102"/>
        <v>27.572191623044361</v>
      </c>
      <c r="Q195" s="1257">
        <f t="shared" si="102"/>
        <v>27.860539531265811</v>
      </c>
      <c r="R195" s="1257">
        <f t="shared" si="102"/>
        <v>25.820284479055939</v>
      </c>
      <c r="S195" s="1257">
        <f t="shared" si="102"/>
        <v>26.090311074003722</v>
      </c>
      <c r="T195" s="1257">
        <f t="shared" si="102"/>
        <v>26.363161586791691</v>
      </c>
      <c r="U195" s="1257">
        <f t="shared" si="102"/>
        <v>26.63886554974043</v>
      </c>
      <c r="V195" s="1257">
        <f t="shared" si="102"/>
        <v>26.917452804017309</v>
      </c>
      <c r="W195" s="1257">
        <f t="shared" si="102"/>
        <v>27.198953502866399</v>
      </c>
      <c r="X195" s="1258">
        <f t="shared" si="102"/>
        <v>27.483398114872102</v>
      </c>
      <c r="Z195" s="1064"/>
      <c r="AA195" s="1064"/>
      <c r="AB195" s="1064"/>
      <c r="AC195" s="1064"/>
      <c r="AD195" s="1064"/>
      <c r="AE195" s="1064"/>
      <c r="AF195" s="1064"/>
      <c r="AG195" s="1064"/>
      <c r="AH195" s="1064"/>
      <c r="AI195" s="1064"/>
      <c r="AJ195" s="1064"/>
    </row>
    <row r="196" spans="1:36" s="1066" customFormat="1" ht="20.100000000000001" customHeight="1" x14ac:dyDescent="0.35">
      <c r="A196" s="1064"/>
      <c r="B196" s="1233" t="s">
        <v>288</v>
      </c>
      <c r="C196" s="1165" t="s">
        <v>745</v>
      </c>
      <c r="D196" s="1253">
        <f t="shared" ref="D196:H196" si="103">D17*D178/$F$184</f>
        <v>165.65536207365338</v>
      </c>
      <c r="E196" s="1253">
        <f t="shared" si="103"/>
        <v>166.10799611380449</v>
      </c>
      <c r="F196" s="1253">
        <f t="shared" si="103"/>
        <v>14.056164878023511</v>
      </c>
      <c r="G196" s="1253">
        <f t="shared" si="103"/>
        <v>14.094571716281733</v>
      </c>
      <c r="H196" s="1253">
        <f t="shared" si="103"/>
        <v>14.133083496765508</v>
      </c>
      <c r="I196" s="1253">
        <f t="shared" ref="I196:X196" si="104">I17*I178/$F$184</f>
        <v>13.392215738005547</v>
      </c>
      <c r="J196" s="1253">
        <f t="shared" si="104"/>
        <v>13.428808412339711</v>
      </c>
      <c r="K196" s="1253">
        <f t="shared" si="104"/>
        <v>13.46550107190717</v>
      </c>
      <c r="L196" s="1253">
        <f t="shared" si="104"/>
        <v>13.502293989905965</v>
      </c>
      <c r="M196" s="1253">
        <f t="shared" si="104"/>
        <v>13.539187440280616</v>
      </c>
      <c r="N196" s="1253">
        <f t="shared" si="104"/>
        <v>13.576181697724172</v>
      </c>
      <c r="O196" s="1253">
        <f t="shared" si="104"/>
        <v>13.613277037680229</v>
      </c>
      <c r="P196" s="1253">
        <f t="shared" si="104"/>
        <v>13.650473736345033</v>
      </c>
      <c r="Q196" s="1253">
        <f t="shared" si="104"/>
        <v>13.687772070669466</v>
      </c>
      <c r="R196" s="1253">
        <f t="shared" si="104"/>
        <v>12.588415578321721</v>
      </c>
      <c r="S196" s="1253">
        <f t="shared" si="104"/>
        <v>12.622811962060773</v>
      </c>
      <c r="T196" s="1253">
        <f t="shared" si="104"/>
        <v>12.657302329924114</v>
      </c>
      <c r="U196" s="1253">
        <f t="shared" si="104"/>
        <v>12.691886938712452</v>
      </c>
      <c r="V196" s="1253">
        <f t="shared" si="104"/>
        <v>12.726566045928173</v>
      </c>
      <c r="W196" s="1253">
        <f t="shared" si="104"/>
        <v>12.761339909777249</v>
      </c>
      <c r="X196" s="1254">
        <f t="shared" si="104"/>
        <v>12.79620878917118</v>
      </c>
    </row>
    <row r="197" spans="1:36" s="1066" customFormat="1" ht="20.100000000000001" customHeight="1" x14ac:dyDescent="0.35">
      <c r="A197" s="1064"/>
      <c r="B197" s="1233" t="s">
        <v>289</v>
      </c>
      <c r="C197" s="1165" t="s">
        <v>745</v>
      </c>
      <c r="D197" s="1253">
        <f t="shared" ref="D197:H197" si="105">D18*D179/$F$184</f>
        <v>100.44312435714298</v>
      </c>
      <c r="E197" s="1253">
        <f t="shared" si="105"/>
        <v>101.48368635363454</v>
      </c>
      <c r="F197" s="1253">
        <f t="shared" si="105"/>
        <v>8.6529365323178418</v>
      </c>
      <c r="G197" s="1253">
        <f t="shared" si="105"/>
        <v>8.7425784761662673</v>
      </c>
      <c r="H197" s="1253">
        <f t="shared" si="105"/>
        <v>8.8331490848750995</v>
      </c>
      <c r="I197" s="1253">
        <f t="shared" ref="I197:X197" si="106">I18*I179/$F$184</f>
        <v>8.4337758190842766</v>
      </c>
      <c r="J197" s="1253">
        <f t="shared" si="106"/>
        <v>8.5211473207220045</v>
      </c>
      <c r="K197" s="1253">
        <f t="shared" si="106"/>
        <v>8.6094239660892029</v>
      </c>
      <c r="L197" s="1253">
        <f t="shared" si="106"/>
        <v>8.698615132215636</v>
      </c>
      <c r="M197" s="1253">
        <f t="shared" si="106"/>
        <v>8.7887302932744067</v>
      </c>
      <c r="N197" s="1253">
        <f t="shared" si="106"/>
        <v>8.8797790215883321</v>
      </c>
      <c r="O197" s="1253">
        <f t="shared" si="106"/>
        <v>8.9717709886467567</v>
      </c>
      <c r="P197" s="1253">
        <f t="shared" si="106"/>
        <v>9.0647159661328871</v>
      </c>
      <c r="Q197" s="1253">
        <f t="shared" si="106"/>
        <v>9.1586238269617652</v>
      </c>
      <c r="R197" s="1253">
        <f t="shared" si="106"/>
        <v>8.4871037013681523</v>
      </c>
      <c r="S197" s="1253">
        <f t="shared" si="106"/>
        <v>8.5750276645906123</v>
      </c>
      <c r="T197" s="1253">
        <f t="shared" si="106"/>
        <v>8.6638624948863114</v>
      </c>
      <c r="U197" s="1253">
        <f t="shared" si="106"/>
        <v>8.75361762857721</v>
      </c>
      <c r="V197" s="1253">
        <f t="shared" si="106"/>
        <v>8.8443025997428695</v>
      </c>
      <c r="W197" s="1253">
        <f t="shared" si="106"/>
        <v>8.9359270412331693</v>
      </c>
      <c r="X197" s="1254">
        <f t="shared" si="106"/>
        <v>9.0285006856915633</v>
      </c>
    </row>
    <row r="198" spans="1:36" s="1066" customFormat="1" ht="20.100000000000001" customHeight="1" thickBot="1" x14ac:dyDescent="0.4">
      <c r="A198" s="1064"/>
      <c r="B198" s="1234" t="s">
        <v>140</v>
      </c>
      <c r="C198" s="1167" t="s">
        <v>745</v>
      </c>
      <c r="D198" s="1255">
        <f t="shared" ref="D198:H198" si="107">D19*D180/$F$184</f>
        <v>34.836541197074787</v>
      </c>
      <c r="E198" s="1255">
        <f t="shared" si="107"/>
        <v>35.619411570806541</v>
      </c>
      <c r="F198" s="1255">
        <f t="shared" si="107"/>
        <v>20.995233897912161</v>
      </c>
      <c r="G198" s="1255">
        <f t="shared" si="107"/>
        <v>21.467053029302395</v>
      </c>
      <c r="H198" s="1255">
        <f t="shared" si="107"/>
        <v>21.949475200117121</v>
      </c>
      <c r="I198" s="1255">
        <f t="shared" ref="I198:X198" si="108">I19*I180/$F$184</f>
        <v>22.442738689047371</v>
      </c>
      <c r="J198" s="1255">
        <f t="shared" si="108"/>
        <v>23.805960564241296</v>
      </c>
      <c r="K198" s="1255">
        <f t="shared" si="108"/>
        <v>24.340944251012584</v>
      </c>
      <c r="L198" s="1255">
        <f t="shared" si="108"/>
        <v>24.88795045392386</v>
      </c>
      <c r="M198" s="1255">
        <f t="shared" si="108"/>
        <v>25.447249351109349</v>
      </c>
      <c r="N198" s="1255">
        <f t="shared" si="108"/>
        <v>26.019117192329503</v>
      </c>
      <c r="O198" s="1255">
        <f t="shared" si="108"/>
        <v>26.603836435416685</v>
      </c>
      <c r="P198" s="1255">
        <f t="shared" si="108"/>
        <v>27.201695885787213</v>
      </c>
      <c r="Q198" s="1255">
        <f t="shared" si="108"/>
        <v>27.812990839088485</v>
      </c>
      <c r="R198" s="1255">
        <f t="shared" si="108"/>
        <v>28.438023227051939</v>
      </c>
      <c r="S198" s="1255">
        <f t="shared" si="108"/>
        <v>29.077101766623596</v>
      </c>
      <c r="T198" s="1255">
        <f t="shared" si="108"/>
        <v>29.730542112446003</v>
      </c>
      <c r="U198" s="1255">
        <f t="shared" si="108"/>
        <v>30.398667012766833</v>
      </c>
      <c r="V198" s="1255">
        <f t="shared" si="108"/>
        <v>32.549218850833064</v>
      </c>
      <c r="W198" s="1255">
        <f t="shared" si="108"/>
        <v>33.280686965944561</v>
      </c>
      <c r="X198" s="1256">
        <f t="shared" si="108"/>
        <v>34.028593128490527</v>
      </c>
    </row>
    <row r="199" spans="1:36" s="1066" customFormat="1" ht="14.25" x14ac:dyDescent="0.25">
      <c r="A199" s="1064"/>
    </row>
    <row r="200" spans="1:36" s="1066" customFormat="1" ht="25.5" customHeight="1" thickBot="1" x14ac:dyDescent="0.55000000000000004">
      <c r="A200" s="1064"/>
      <c r="C200" s="1252"/>
      <c r="D200" s="1840" t="s">
        <v>749</v>
      </c>
      <c r="E200" s="1840"/>
      <c r="F200" s="1840"/>
      <c r="G200" s="1840"/>
      <c r="H200" s="1840"/>
      <c r="I200" s="1840"/>
      <c r="J200" s="1840"/>
      <c r="K200" s="1840"/>
      <c r="L200" s="1840"/>
      <c r="M200" s="1840"/>
      <c r="N200" s="1840"/>
      <c r="O200" s="1840"/>
      <c r="P200" s="1840"/>
      <c r="Q200" s="1840"/>
      <c r="R200" s="1840"/>
      <c r="S200" s="1840"/>
      <c r="T200" s="1840"/>
      <c r="U200" s="1840"/>
      <c r="V200" s="1840"/>
      <c r="W200" s="1840"/>
      <c r="X200" s="1840"/>
    </row>
    <row r="201" spans="1:36" s="1066" customFormat="1" ht="30.75" customHeight="1" thickBot="1" x14ac:dyDescent="0.3">
      <c r="A201" s="1064"/>
      <c r="B201" s="1090"/>
      <c r="C201" s="1197" t="s">
        <v>117</v>
      </c>
      <c r="D201" s="712">
        <v>2023</v>
      </c>
      <c r="E201" s="417">
        <f>D201+1</f>
        <v>2024</v>
      </c>
      <c r="F201" s="417">
        <f t="shared" ref="F201:X201" si="109">E201+1</f>
        <v>2025</v>
      </c>
      <c r="G201" s="417">
        <f t="shared" si="109"/>
        <v>2026</v>
      </c>
      <c r="H201" s="417">
        <f t="shared" si="109"/>
        <v>2027</v>
      </c>
      <c r="I201" s="417">
        <f t="shared" si="109"/>
        <v>2028</v>
      </c>
      <c r="J201" s="417">
        <f t="shared" si="109"/>
        <v>2029</v>
      </c>
      <c r="K201" s="417">
        <f t="shared" si="109"/>
        <v>2030</v>
      </c>
      <c r="L201" s="417">
        <f t="shared" si="109"/>
        <v>2031</v>
      </c>
      <c r="M201" s="417">
        <f t="shared" si="109"/>
        <v>2032</v>
      </c>
      <c r="N201" s="417">
        <f t="shared" si="109"/>
        <v>2033</v>
      </c>
      <c r="O201" s="417">
        <f t="shared" si="109"/>
        <v>2034</v>
      </c>
      <c r="P201" s="417">
        <f t="shared" si="109"/>
        <v>2035</v>
      </c>
      <c r="Q201" s="417">
        <f t="shared" si="109"/>
        <v>2036</v>
      </c>
      <c r="R201" s="417">
        <f t="shared" si="109"/>
        <v>2037</v>
      </c>
      <c r="S201" s="417">
        <f t="shared" si="109"/>
        <v>2038</v>
      </c>
      <c r="T201" s="417">
        <f t="shared" si="109"/>
        <v>2039</v>
      </c>
      <c r="U201" s="417">
        <f t="shared" si="109"/>
        <v>2040</v>
      </c>
      <c r="V201" s="417">
        <f t="shared" si="109"/>
        <v>2041</v>
      </c>
      <c r="W201" s="417">
        <f t="shared" si="109"/>
        <v>2042</v>
      </c>
      <c r="X201" s="713">
        <f t="shared" si="109"/>
        <v>2043</v>
      </c>
    </row>
    <row r="202" spans="1:36" s="1066" customFormat="1" ht="20.100000000000001" customHeight="1" x14ac:dyDescent="0.35">
      <c r="A202" s="1064"/>
      <c r="B202" s="1232" t="s">
        <v>287</v>
      </c>
      <c r="C202" s="1171" t="s">
        <v>745</v>
      </c>
      <c r="D202" s="1236">
        <f t="shared" ref="D202:X202" si="110">D195-D188</f>
        <v>49.363007245974472</v>
      </c>
      <c r="E202" s="1237">
        <f t="shared" si="110"/>
        <v>50.404683515881231</v>
      </c>
      <c r="F202" s="1237">
        <f t="shared" si="110"/>
        <v>6.6618053444402108</v>
      </c>
      <c r="G202" s="1237">
        <f t="shared" si="110"/>
        <v>6.7718010678503084</v>
      </c>
      <c r="H202" s="1237">
        <f t="shared" si="110"/>
        <v>6.8832860191384384</v>
      </c>
      <c r="I202" s="1237">
        <f t="shared" si="110"/>
        <v>5.5041754817258273</v>
      </c>
      <c r="J202" s="1237">
        <f t="shared" si="110"/>
        <v>8.1456627877527232</v>
      </c>
      <c r="K202" s="1237">
        <f t="shared" si="110"/>
        <v>8.2673266250122168</v>
      </c>
      <c r="L202" s="1237">
        <f t="shared" si="110"/>
        <v>8.3905693601214573</v>
      </c>
      <c r="M202" s="1237">
        <f t="shared" si="110"/>
        <v>8.5154100812338882</v>
      </c>
      <c r="N202" s="1237">
        <f t="shared" si="110"/>
        <v>8.6418680977749638</v>
      </c>
      <c r="O202" s="1237">
        <f t="shared" si="110"/>
        <v>9.8166123810626793</v>
      </c>
      <c r="P202" s="1237">
        <f t="shared" si="110"/>
        <v>9.9551596544050476</v>
      </c>
      <c r="Q202" s="1237">
        <f t="shared" si="110"/>
        <v>10.095457422726827</v>
      </c>
      <c r="R202" s="1237">
        <f t="shared" si="110"/>
        <v>7.9059080457873208</v>
      </c>
      <c r="S202" s="1237">
        <f t="shared" si="110"/>
        <v>8.025385675286099</v>
      </c>
      <c r="T202" s="1237">
        <f t="shared" si="110"/>
        <v>8.1464220381469872</v>
      </c>
      <c r="U202" s="1237">
        <f t="shared" si="110"/>
        <v>8.2690360343241558</v>
      </c>
      <c r="V202" s="1237">
        <f t="shared" si="110"/>
        <v>8.8279093251163054</v>
      </c>
      <c r="W202" s="1237">
        <f t="shared" si="110"/>
        <v>8.9573889884390958</v>
      </c>
      <c r="X202" s="1259">
        <f t="shared" si="110"/>
        <v>9.0885350094473267</v>
      </c>
    </row>
    <row r="203" spans="1:36" s="1066" customFormat="1" ht="20.100000000000001" customHeight="1" x14ac:dyDescent="0.35">
      <c r="A203" s="1064"/>
      <c r="B203" s="1233" t="s">
        <v>288</v>
      </c>
      <c r="C203" s="1172" t="s">
        <v>745</v>
      </c>
      <c r="D203" s="1239">
        <f t="shared" ref="D203:X203" si="111">D196-D189</f>
        <v>27.072079398778811</v>
      </c>
      <c r="E203" s="1240">
        <f t="shared" si="111"/>
        <v>27.415968189239265</v>
      </c>
      <c r="F203" s="1240">
        <f t="shared" si="111"/>
        <v>3.5801693156190044</v>
      </c>
      <c r="G203" s="1240">
        <f t="shared" si="111"/>
        <v>3.6103557197007259</v>
      </c>
      <c r="H203" s="1240">
        <f t="shared" si="111"/>
        <v>3.6406406154957178</v>
      </c>
      <c r="I203" s="1240">
        <f t="shared" si="111"/>
        <v>2.8915395164730224</v>
      </c>
      <c r="J203" s="1240">
        <f t="shared" si="111"/>
        <v>4.2360930834151151</v>
      </c>
      <c r="K203" s="1240">
        <f t="shared" si="111"/>
        <v>4.2655722890616978</v>
      </c>
      <c r="L203" s="1240">
        <f t="shared" si="111"/>
        <v>4.2951460927970917</v>
      </c>
      <c r="M203" s="1240">
        <f t="shared" si="111"/>
        <v>4.3248147641241932</v>
      </c>
      <c r="N203" s="1240">
        <f t="shared" si="111"/>
        <v>4.354578573290933</v>
      </c>
      <c r="O203" s="1240">
        <f t="shared" si="111"/>
        <v>4.906089775497362</v>
      </c>
      <c r="P203" s="1240">
        <f t="shared" si="111"/>
        <v>4.9364540104287808</v>
      </c>
      <c r="Q203" s="1240">
        <f t="shared" si="111"/>
        <v>4.9669145196374114</v>
      </c>
      <c r="R203" s="1240">
        <f t="shared" si="111"/>
        <v>3.8607148365844157</v>
      </c>
      <c r="S203" s="1240">
        <f t="shared" si="111"/>
        <v>3.888262659818432</v>
      </c>
      <c r="T203" s="1240">
        <f t="shared" si="111"/>
        <v>3.915899093163306</v>
      </c>
      <c r="U203" s="1240">
        <f t="shared" si="111"/>
        <v>3.9436243892027978</v>
      </c>
      <c r="V203" s="1240">
        <f t="shared" si="111"/>
        <v>4.1768741034470178</v>
      </c>
      <c r="W203" s="1240">
        <f t="shared" si="111"/>
        <v>4.2049390889442577</v>
      </c>
      <c r="X203" s="1260">
        <f t="shared" si="111"/>
        <v>4.233093825580454</v>
      </c>
    </row>
    <row r="204" spans="1:36" s="1066" customFormat="1" ht="20.100000000000001" customHeight="1" x14ac:dyDescent="0.35">
      <c r="A204" s="1064"/>
      <c r="B204" s="1233" t="s">
        <v>289</v>
      </c>
      <c r="C204" s="1172" t="s">
        <v>745</v>
      </c>
      <c r="D204" s="1239">
        <f t="shared" ref="D204:X204" si="112">D197-D190</f>
        <v>16.254401597189585</v>
      </c>
      <c r="E204" s="1240">
        <f t="shared" si="112"/>
        <v>16.595899014649333</v>
      </c>
      <c r="F204" s="1240">
        <f t="shared" si="112"/>
        <v>2.1928303003929592</v>
      </c>
      <c r="G204" s="1240">
        <f t="shared" si="112"/>
        <v>2.2288304820733345</v>
      </c>
      <c r="H204" s="1240">
        <f t="shared" si="112"/>
        <v>2.2653139119994048</v>
      </c>
      <c r="I204" s="1240">
        <f t="shared" si="112"/>
        <v>1.8114043522756305</v>
      </c>
      <c r="J204" s="1240">
        <f t="shared" si="112"/>
        <v>2.6801000556598167</v>
      </c>
      <c r="K204" s="1240">
        <f t="shared" si="112"/>
        <v>2.7198753208706945</v>
      </c>
      <c r="L204" s="1240">
        <f t="shared" si="112"/>
        <v>2.7601623736030287</v>
      </c>
      <c r="M204" s="1240">
        <f t="shared" si="112"/>
        <v>2.800967343917649</v>
      </c>
      <c r="N204" s="1240">
        <f t="shared" si="112"/>
        <v>2.8422964322571156</v>
      </c>
      <c r="O204" s="1240">
        <f t="shared" si="112"/>
        <v>3.2282529737900534</v>
      </c>
      <c r="P204" s="1240">
        <f t="shared" si="112"/>
        <v>3.2735064093262523</v>
      </c>
      <c r="Q204" s="1240">
        <f t="shared" si="112"/>
        <v>3.3193267194928247</v>
      </c>
      <c r="R204" s="1240">
        <f t="shared" si="112"/>
        <v>2.5993197462496349</v>
      </c>
      <c r="S204" s="1240">
        <f t="shared" si="112"/>
        <v>2.6383542492560181</v>
      </c>
      <c r="T204" s="1240">
        <f t="shared" si="112"/>
        <v>2.6778936636588613</v>
      </c>
      <c r="U204" s="1240">
        <f t="shared" si="112"/>
        <v>2.7179440549101939</v>
      </c>
      <c r="V204" s="1240">
        <f t="shared" si="112"/>
        <v>2.9013120323933688</v>
      </c>
      <c r="W204" s="1240">
        <f t="shared" si="112"/>
        <v>2.9435886032549634</v>
      </c>
      <c r="X204" s="1260">
        <f t="shared" si="112"/>
        <v>2.9864046149778476</v>
      </c>
    </row>
    <row r="205" spans="1:36" s="1066" customFormat="1" ht="20.100000000000001" customHeight="1" thickBot="1" x14ac:dyDescent="0.4">
      <c r="A205" s="1064"/>
      <c r="B205" s="1234" t="s">
        <v>140</v>
      </c>
      <c r="C205" s="1173" t="s">
        <v>745</v>
      </c>
      <c r="D205" s="1242">
        <f t="shared" ref="D205:X205" si="113">D198-D191</f>
        <v>-279.8741853568248</v>
      </c>
      <c r="E205" s="1243">
        <f t="shared" si="113"/>
        <v>-290.67581078696998</v>
      </c>
      <c r="F205" s="1243">
        <f t="shared" si="113"/>
        <v>-3.2503227435445368</v>
      </c>
      <c r="G205" s="1243">
        <f t="shared" si="113"/>
        <v>-2.9373734132387277</v>
      </c>
      <c r="H205" s="1243">
        <f t="shared" si="113"/>
        <v>-2.6148620430643525</v>
      </c>
      <c r="I205" s="1243">
        <f t="shared" si="113"/>
        <v>-2.2825571755139116</v>
      </c>
      <c r="J205" s="1243">
        <f t="shared" si="113"/>
        <v>-4.885482028617588</v>
      </c>
      <c r="K205" s="1243">
        <f t="shared" si="113"/>
        <v>-4.53849995570733</v>
      </c>
      <c r="L205" s="1243">
        <f t="shared" si="113"/>
        <v>-4.1807272533668502</v>
      </c>
      <c r="M205" s="1243">
        <f t="shared" si="113"/>
        <v>-3.811901815439807</v>
      </c>
      <c r="N205" s="1243">
        <f t="shared" si="113"/>
        <v>-3.4317555170354979</v>
      </c>
      <c r="O205" s="1243">
        <f t="shared" si="113"/>
        <v>-4.4927788980722134</v>
      </c>
      <c r="P205" s="1243">
        <f t="shared" si="113"/>
        <v>-4.0986810344322997</v>
      </c>
      <c r="Q205" s="1243">
        <f t="shared" si="113"/>
        <v>-3.6924828223079444</v>
      </c>
      <c r="R205" s="1243">
        <f t="shared" si="113"/>
        <v>-3.2738910786107667</v>
      </c>
      <c r="S205" s="1243">
        <f t="shared" si="113"/>
        <v>-2.8426058923635971</v>
      </c>
      <c r="T205" s="1243">
        <f t="shared" si="113"/>
        <v>-2.3983204725941363</v>
      </c>
      <c r="U205" s="1243">
        <f t="shared" si="113"/>
        <v>-5.5481154761883822</v>
      </c>
      <c r="V205" s="1243">
        <f t="shared" si="113"/>
        <v>-3.6331061034116843</v>
      </c>
      <c r="W205" s="1243">
        <f t="shared" si="113"/>
        <v>-3.138723853279842</v>
      </c>
      <c r="X205" s="1261">
        <f t="shared" si="113"/>
        <v>-2.629457068580507</v>
      </c>
    </row>
    <row r="206" spans="1:36" s="1066" customFormat="1" ht="14.25" x14ac:dyDescent="0.25">
      <c r="A206" s="1064"/>
    </row>
    <row r="207" spans="1:36" s="1066" customFormat="1" ht="14.25" x14ac:dyDescent="0.25">
      <c r="A207" s="1064"/>
    </row>
    <row r="208" spans="1:36" s="1066" customFormat="1" ht="29.25" x14ac:dyDescent="0.25">
      <c r="A208" s="1064"/>
      <c r="B208" s="1244" t="s">
        <v>750</v>
      </c>
      <c r="C208" s="1244"/>
      <c r="D208" s="1244"/>
      <c r="E208" s="1244"/>
      <c r="F208" s="1244"/>
      <c r="G208" s="1244"/>
      <c r="H208" s="1244"/>
      <c r="I208" s="1244"/>
      <c r="J208" s="1244"/>
      <c r="K208" s="1244"/>
      <c r="L208" s="1244"/>
      <c r="M208" s="1244"/>
      <c r="N208" s="1244"/>
      <c r="O208" s="1244"/>
      <c r="P208" s="1244"/>
      <c r="Q208" s="1244"/>
      <c r="R208" s="1244"/>
      <c r="S208" s="1244"/>
      <c r="T208" s="1244"/>
      <c r="U208" s="1244"/>
      <c r="V208" s="1244"/>
      <c r="W208" s="1244"/>
      <c r="X208" s="1244"/>
    </row>
    <row r="209" spans="1:36" s="1066" customFormat="1" ht="27" thickBot="1" x14ac:dyDescent="0.45">
      <c r="A209" s="1064"/>
      <c r="B209" s="1105"/>
      <c r="C209" s="1105"/>
      <c r="D209" s="1105"/>
      <c r="E209" s="1105"/>
      <c r="F209" s="1105"/>
      <c r="G209" s="1105"/>
      <c r="H209" s="1105"/>
      <c r="I209" s="1105"/>
      <c r="J209" s="1105"/>
    </row>
    <row r="210" spans="1:36" s="1064" customFormat="1" ht="27" customHeight="1" thickBot="1" x14ac:dyDescent="0.3">
      <c r="B210" s="1150" t="s">
        <v>317</v>
      </c>
      <c r="C210" s="1151"/>
      <c r="D210" s="1152"/>
      <c r="E210" s="1152"/>
      <c r="F210" s="1262">
        <f>Rates!E77</f>
        <v>7377</v>
      </c>
      <c r="H210" s="1154"/>
      <c r="I210" s="1154"/>
      <c r="J210" s="1154"/>
      <c r="K210" s="1154"/>
      <c r="L210" s="1154"/>
      <c r="M210" s="1154"/>
      <c r="N210" s="1154"/>
      <c r="O210" s="1154"/>
      <c r="P210" s="1154"/>
      <c r="Q210" s="1154"/>
      <c r="R210" s="1154"/>
      <c r="S210" s="1154"/>
      <c r="T210" s="1154"/>
      <c r="U210" s="1154"/>
      <c r="V210" s="1154"/>
      <c r="W210" s="1154"/>
      <c r="X210" s="1154"/>
      <c r="Y210" s="1154"/>
      <c r="Z210" s="1154"/>
      <c r="AA210" s="1154"/>
    </row>
    <row r="211" spans="1:36" s="1066" customFormat="1" ht="25.5" customHeight="1" x14ac:dyDescent="0.25">
      <c r="A211" s="1064"/>
      <c r="B211" s="1851" t="s">
        <v>751</v>
      </c>
      <c r="C211" s="1851"/>
      <c r="D211" s="1851"/>
      <c r="E211" s="1851"/>
      <c r="F211" s="1851"/>
      <c r="G211" s="1852"/>
      <c r="I211" s="1154"/>
      <c r="J211" s="1154"/>
      <c r="K211" s="1154"/>
      <c r="L211" s="1154"/>
      <c r="M211" s="1154"/>
      <c r="N211" s="1154"/>
      <c r="O211" s="1154"/>
      <c r="P211" s="1154"/>
      <c r="Q211" s="1154"/>
      <c r="R211" s="1154"/>
      <c r="S211" s="1154"/>
      <c r="T211" s="1154"/>
      <c r="U211" s="1154"/>
      <c r="V211" s="1154"/>
      <c r="W211" s="1154"/>
      <c r="X211" s="1154"/>
      <c r="Y211" s="1154"/>
      <c r="Z211" s="1154"/>
      <c r="AA211" s="1154"/>
    </row>
    <row r="212" spans="1:36" s="1066" customFormat="1" ht="15.75" thickBot="1" x14ac:dyDescent="0.3">
      <c r="A212" s="1064"/>
      <c r="D212" s="1156"/>
      <c r="G212" s="1157"/>
      <c r="H212" s="1157"/>
      <c r="I212" s="1157"/>
      <c r="J212" s="1157"/>
      <c r="K212" s="1157"/>
      <c r="L212" s="1157"/>
      <c r="M212" s="1157"/>
      <c r="N212" s="1157"/>
      <c r="O212" s="1157"/>
      <c r="P212" s="1157"/>
      <c r="Q212" s="1157"/>
      <c r="R212" s="1157"/>
      <c r="S212" s="1157"/>
      <c r="T212" s="1157"/>
      <c r="U212" s="1157"/>
      <c r="V212" s="1157"/>
      <c r="W212" s="1157"/>
      <c r="X212" s="1157"/>
      <c r="Y212" s="1157"/>
      <c r="Z212" s="1157"/>
      <c r="AA212" s="1157"/>
    </row>
    <row r="213" spans="1:36" s="1066" customFormat="1" ht="20.100000000000001" customHeight="1" thickBot="1" x14ac:dyDescent="0.3">
      <c r="A213" s="1064"/>
      <c r="B213" s="1064"/>
      <c r="C213" s="1193" t="s">
        <v>117</v>
      </c>
      <c r="D213" s="712">
        <v>2023</v>
      </c>
      <c r="E213" s="417">
        <f>D213+1</f>
        <v>2024</v>
      </c>
      <c r="F213" s="417">
        <f t="shared" ref="F213:X213" si="114">E213+1</f>
        <v>2025</v>
      </c>
      <c r="G213" s="417">
        <f t="shared" si="114"/>
        <v>2026</v>
      </c>
      <c r="H213" s="417">
        <f t="shared" si="114"/>
        <v>2027</v>
      </c>
      <c r="I213" s="417">
        <f t="shared" si="114"/>
        <v>2028</v>
      </c>
      <c r="J213" s="417">
        <f t="shared" si="114"/>
        <v>2029</v>
      </c>
      <c r="K213" s="417">
        <f t="shared" si="114"/>
        <v>2030</v>
      </c>
      <c r="L213" s="417">
        <f t="shared" si="114"/>
        <v>2031</v>
      </c>
      <c r="M213" s="417">
        <f t="shared" si="114"/>
        <v>2032</v>
      </c>
      <c r="N213" s="417">
        <f t="shared" si="114"/>
        <v>2033</v>
      </c>
      <c r="O213" s="417">
        <f t="shared" si="114"/>
        <v>2034</v>
      </c>
      <c r="P213" s="417">
        <f t="shared" si="114"/>
        <v>2035</v>
      </c>
      <c r="Q213" s="417">
        <f t="shared" si="114"/>
        <v>2036</v>
      </c>
      <c r="R213" s="417">
        <f t="shared" si="114"/>
        <v>2037</v>
      </c>
      <c r="S213" s="417">
        <f t="shared" si="114"/>
        <v>2038</v>
      </c>
      <c r="T213" s="417">
        <f t="shared" si="114"/>
        <v>2039</v>
      </c>
      <c r="U213" s="417">
        <f t="shared" si="114"/>
        <v>2040</v>
      </c>
      <c r="V213" s="417">
        <f t="shared" si="114"/>
        <v>2041</v>
      </c>
      <c r="W213" s="417">
        <f t="shared" si="114"/>
        <v>2042</v>
      </c>
      <c r="X213" s="713">
        <f t="shared" si="114"/>
        <v>2043</v>
      </c>
    </row>
    <row r="214" spans="1:36" s="1066" customFormat="1" ht="20.100000000000001" customHeight="1" x14ac:dyDescent="0.35">
      <c r="A214" s="1064"/>
      <c r="B214" s="1158" t="s">
        <v>394</v>
      </c>
      <c r="C214" s="1171" t="s">
        <v>745</v>
      </c>
      <c r="D214" s="1263">
        <f t="shared" ref="D214:X214" si="115">$F$210*D202</f>
        <v>364150.90445355367</v>
      </c>
      <c r="E214" s="1264">
        <f t="shared" si="115"/>
        <v>371835.35029665584</v>
      </c>
      <c r="F214" s="1264">
        <f t="shared" si="115"/>
        <v>49144.138025935434</v>
      </c>
      <c r="G214" s="1264">
        <f t="shared" si="115"/>
        <v>49955.576477531722</v>
      </c>
      <c r="H214" s="1264">
        <f t="shared" si="115"/>
        <v>50778.000963184262</v>
      </c>
      <c r="I214" s="1264">
        <f t="shared" si="115"/>
        <v>40604.302528691427</v>
      </c>
      <c r="J214" s="1264">
        <f t="shared" si="115"/>
        <v>60090.554385251839</v>
      </c>
      <c r="K214" s="1264">
        <f t="shared" si="115"/>
        <v>60988.068512715123</v>
      </c>
      <c r="L214" s="1264">
        <f t="shared" si="115"/>
        <v>61897.230169615992</v>
      </c>
      <c r="M214" s="1264">
        <f t="shared" si="115"/>
        <v>62818.180169262392</v>
      </c>
      <c r="N214" s="1264">
        <f t="shared" si="115"/>
        <v>63751.06095728591</v>
      </c>
      <c r="O214" s="1264">
        <f t="shared" si="115"/>
        <v>72417.149535099379</v>
      </c>
      <c r="P214" s="1264">
        <f t="shared" si="115"/>
        <v>73439.21277054603</v>
      </c>
      <c r="Q214" s="1264">
        <f t="shared" si="115"/>
        <v>74474.189407455808</v>
      </c>
      <c r="R214" s="1264">
        <f t="shared" si="115"/>
        <v>58321.883653773068</v>
      </c>
      <c r="S214" s="1264">
        <f t="shared" si="115"/>
        <v>59203.27012658555</v>
      </c>
      <c r="T214" s="1264">
        <f t="shared" si="115"/>
        <v>60096.155375410322</v>
      </c>
      <c r="U214" s="1264">
        <f t="shared" si="115"/>
        <v>61000.678825209296</v>
      </c>
      <c r="V214" s="1264">
        <f t="shared" si="115"/>
        <v>65123.487091382987</v>
      </c>
      <c r="W214" s="1264">
        <f t="shared" si="115"/>
        <v>66078.658567715203</v>
      </c>
      <c r="X214" s="1265">
        <f t="shared" si="115"/>
        <v>67046.122764692933</v>
      </c>
      <c r="AG214" s="1266"/>
    </row>
    <row r="215" spans="1:36" s="1066" customFormat="1" ht="20.100000000000001" customHeight="1" x14ac:dyDescent="0.35">
      <c r="A215" s="1064"/>
      <c r="B215" s="1164" t="s">
        <v>467</v>
      </c>
      <c r="C215" s="1172" t="s">
        <v>745</v>
      </c>
      <c r="D215" s="1263">
        <f t="shared" ref="D215:X215" si="116">$F$210*D203</f>
        <v>199710.72972479128</v>
      </c>
      <c r="E215" s="1264">
        <f t="shared" si="116"/>
        <v>202247.59733201805</v>
      </c>
      <c r="F215" s="1264">
        <f t="shared" si="116"/>
        <v>26410.909041321396</v>
      </c>
      <c r="G215" s="1264">
        <f t="shared" si="116"/>
        <v>26633.594144232255</v>
      </c>
      <c r="H215" s="1264">
        <f t="shared" si="116"/>
        <v>26857.005820511909</v>
      </c>
      <c r="I215" s="1264">
        <f t="shared" si="116"/>
        <v>21330.887013021485</v>
      </c>
      <c r="J215" s="1264">
        <f t="shared" si="116"/>
        <v>31249.658676353305</v>
      </c>
      <c r="K215" s="1264">
        <f t="shared" si="116"/>
        <v>31467.126776408146</v>
      </c>
      <c r="L215" s="1264">
        <f t="shared" si="116"/>
        <v>31685.292726564145</v>
      </c>
      <c r="M215" s="1264">
        <f t="shared" si="116"/>
        <v>31904.158514944174</v>
      </c>
      <c r="N215" s="1264">
        <f t="shared" si="116"/>
        <v>32123.726135167213</v>
      </c>
      <c r="O215" s="1264">
        <f t="shared" si="116"/>
        <v>36192.22427384404</v>
      </c>
      <c r="P215" s="1264">
        <f t="shared" si="116"/>
        <v>36416.221234933117</v>
      </c>
      <c r="Q215" s="1264">
        <f t="shared" si="116"/>
        <v>36640.928411365181</v>
      </c>
      <c r="R215" s="1264">
        <f t="shared" si="116"/>
        <v>28480.493349483233</v>
      </c>
      <c r="S215" s="1264">
        <f t="shared" si="116"/>
        <v>28683.713641480572</v>
      </c>
      <c r="T215" s="1264">
        <f t="shared" si="116"/>
        <v>28887.587610265709</v>
      </c>
      <c r="U215" s="1264">
        <f t="shared" si="116"/>
        <v>29092.117119149039</v>
      </c>
      <c r="V215" s="1264">
        <f t="shared" si="116"/>
        <v>30812.80026112865</v>
      </c>
      <c r="W215" s="1264">
        <f t="shared" si="116"/>
        <v>31019.835659141791</v>
      </c>
      <c r="X215" s="1265">
        <f t="shared" si="116"/>
        <v>31227.533151307009</v>
      </c>
      <c r="AG215" s="1266"/>
    </row>
    <row r="216" spans="1:36" s="1066" customFormat="1" ht="20.100000000000001" customHeight="1" x14ac:dyDescent="0.35">
      <c r="A216" s="1064"/>
      <c r="B216" s="1158" t="s">
        <v>396</v>
      </c>
      <c r="C216" s="1172" t="s">
        <v>745</v>
      </c>
      <c r="D216" s="1263">
        <f t="shared" ref="D216:X216" si="117">$F$210*D204</f>
        <v>119908.72058246756</v>
      </c>
      <c r="E216" s="1264">
        <f t="shared" si="117"/>
        <v>122427.94703106814</v>
      </c>
      <c r="F216" s="1264">
        <f t="shared" si="117"/>
        <v>16176.50912599886</v>
      </c>
      <c r="G216" s="1264">
        <f t="shared" si="117"/>
        <v>16442.082466254989</v>
      </c>
      <c r="H216" s="1264">
        <f t="shared" si="117"/>
        <v>16711.220728819608</v>
      </c>
      <c r="I216" s="1264">
        <f t="shared" si="117"/>
        <v>13362.729906737326</v>
      </c>
      <c r="J216" s="1264">
        <f t="shared" si="117"/>
        <v>19771.098110602466</v>
      </c>
      <c r="K216" s="1264">
        <f t="shared" si="117"/>
        <v>20064.520242063114</v>
      </c>
      <c r="L216" s="1264">
        <f t="shared" si="117"/>
        <v>20361.717830069541</v>
      </c>
      <c r="M216" s="1264">
        <f t="shared" si="117"/>
        <v>20662.736096080498</v>
      </c>
      <c r="N216" s="1264">
        <f t="shared" si="117"/>
        <v>20967.620780760742</v>
      </c>
      <c r="O216" s="1264">
        <f t="shared" si="117"/>
        <v>23814.822187649224</v>
      </c>
      <c r="P216" s="1264">
        <f t="shared" si="117"/>
        <v>24148.656781599762</v>
      </c>
      <c r="Q216" s="1264">
        <f t="shared" si="117"/>
        <v>24486.673209698569</v>
      </c>
      <c r="R216" s="1264">
        <f t="shared" si="117"/>
        <v>19175.181768083556</v>
      </c>
      <c r="S216" s="1264">
        <f t="shared" si="117"/>
        <v>19463.139296761645</v>
      </c>
      <c r="T216" s="1264">
        <f t="shared" si="117"/>
        <v>19754.821556811421</v>
      </c>
      <c r="U216" s="1264">
        <f t="shared" si="117"/>
        <v>20050.2732930725</v>
      </c>
      <c r="V216" s="1264">
        <f t="shared" si="117"/>
        <v>21402.97886296588</v>
      </c>
      <c r="W216" s="1264">
        <f t="shared" si="117"/>
        <v>21714.853126211867</v>
      </c>
      <c r="X216" s="1265">
        <f t="shared" si="117"/>
        <v>22030.70684469158</v>
      </c>
      <c r="AG216" s="1266"/>
    </row>
    <row r="217" spans="1:36" s="1066" customFormat="1" ht="20.100000000000001" customHeight="1" x14ac:dyDescent="0.35">
      <c r="A217" s="1064"/>
      <c r="B217" s="1158" t="s">
        <v>140</v>
      </c>
      <c r="C217" s="1172" t="s">
        <v>745</v>
      </c>
      <c r="D217" s="1263">
        <f t="shared" ref="D217:X217" si="118">$F$210*D205</f>
        <v>-2064631.8653772965</v>
      </c>
      <c r="E217" s="1264">
        <f t="shared" si="118"/>
        <v>-2144315.4561754777</v>
      </c>
      <c r="F217" s="1264">
        <f t="shared" si="118"/>
        <v>-23977.630879128046</v>
      </c>
      <c r="G217" s="1264">
        <f t="shared" si="118"/>
        <v>-21669.003669462094</v>
      </c>
      <c r="H217" s="1264">
        <f t="shared" si="118"/>
        <v>-19289.83729168573</v>
      </c>
      <c r="I217" s="1264">
        <f t="shared" si="118"/>
        <v>-16838.424283766126</v>
      </c>
      <c r="J217" s="1264">
        <f t="shared" si="118"/>
        <v>-36040.200925111945</v>
      </c>
      <c r="K217" s="1264">
        <f t="shared" si="118"/>
        <v>-33480.514173252974</v>
      </c>
      <c r="L217" s="1264">
        <f t="shared" si="118"/>
        <v>-30841.224948087256</v>
      </c>
      <c r="M217" s="1264">
        <f t="shared" si="118"/>
        <v>-28120.399692499457</v>
      </c>
      <c r="N217" s="1264">
        <f t="shared" si="118"/>
        <v>-25316.060449170869</v>
      </c>
      <c r="O217" s="1264">
        <f t="shared" si="118"/>
        <v>-33143.22993107872</v>
      </c>
      <c r="P217" s="1264">
        <f t="shared" si="118"/>
        <v>-30235.969991007074</v>
      </c>
      <c r="Q217" s="1264">
        <f t="shared" si="118"/>
        <v>-27239.445780165704</v>
      </c>
      <c r="R217" s="1264">
        <f t="shared" si="118"/>
        <v>-24151.494486911626</v>
      </c>
      <c r="S217" s="1264">
        <f t="shared" si="118"/>
        <v>-20969.903667966257</v>
      </c>
      <c r="T217" s="1264">
        <f t="shared" si="118"/>
        <v>-17692.410126326944</v>
      </c>
      <c r="U217" s="1264">
        <f t="shared" si="118"/>
        <v>-40928.447867841693</v>
      </c>
      <c r="V217" s="1264">
        <f t="shared" si="118"/>
        <v>-26801.423724867996</v>
      </c>
      <c r="W217" s="1264">
        <f t="shared" si="118"/>
        <v>-23154.365865645395</v>
      </c>
      <c r="X217" s="1265">
        <f t="shared" si="118"/>
        <v>-19397.504794918401</v>
      </c>
      <c r="AG217" s="1266"/>
    </row>
    <row r="218" spans="1:36" s="1066" customFormat="1" ht="20.100000000000001" customHeight="1" thickBot="1" x14ac:dyDescent="0.4">
      <c r="A218" s="1064"/>
      <c r="B218" s="1158" t="s">
        <v>5</v>
      </c>
      <c r="C218" s="1173" t="s">
        <v>745</v>
      </c>
      <c r="D218" s="1267">
        <f>SUM(D214:D217)</f>
        <v>-1380861.5106164839</v>
      </c>
      <c r="E218" s="1268">
        <f t="shared" ref="E218:X218" si="119">SUM(E214:E217)</f>
        <v>-1447804.5615157357</v>
      </c>
      <c r="F218" s="1268">
        <f t="shared" si="119"/>
        <v>67753.925314127642</v>
      </c>
      <c r="G218" s="1268">
        <f t="shared" si="119"/>
        <v>71362.249418556865</v>
      </c>
      <c r="H218" s="1268">
        <f t="shared" si="119"/>
        <v>75056.390220830042</v>
      </c>
      <c r="I218" s="1268">
        <f t="shared" si="119"/>
        <v>58459.495164684107</v>
      </c>
      <c r="J218" s="1268">
        <f t="shared" si="119"/>
        <v>75071.110247095668</v>
      </c>
      <c r="K218" s="1268">
        <f t="shared" si="119"/>
        <v>79039.201357933402</v>
      </c>
      <c r="L218" s="1268">
        <f t="shared" si="119"/>
        <v>83103.015778162415</v>
      </c>
      <c r="M218" s="1268">
        <f t="shared" si="119"/>
        <v>87264.675087787604</v>
      </c>
      <c r="N218" s="1268">
        <f t="shared" si="119"/>
        <v>91526.347424043008</v>
      </c>
      <c r="O218" s="1268">
        <f t="shared" si="119"/>
        <v>99280.966065513916</v>
      </c>
      <c r="P218" s="1268">
        <f t="shared" si="119"/>
        <v>103768.12079607185</v>
      </c>
      <c r="Q218" s="1268">
        <f t="shared" si="119"/>
        <v>108362.34524835387</v>
      </c>
      <c r="R218" s="1268">
        <f t="shared" si="119"/>
        <v>81826.064284428227</v>
      </c>
      <c r="S218" s="1268">
        <f t="shared" si="119"/>
        <v>86380.219396861517</v>
      </c>
      <c r="T218" s="1268">
        <f t="shared" si="119"/>
        <v>91046.154416160512</v>
      </c>
      <c r="U218" s="1268">
        <f t="shared" si="119"/>
        <v>69214.621369589149</v>
      </c>
      <c r="V218" s="1268">
        <f t="shared" si="119"/>
        <v>90537.842490609517</v>
      </c>
      <c r="W218" s="1268">
        <f t="shared" si="119"/>
        <v>95658.981487423473</v>
      </c>
      <c r="X218" s="1269">
        <f t="shared" si="119"/>
        <v>100906.85796577312</v>
      </c>
      <c r="AG218" s="1266"/>
    </row>
    <row r="219" spans="1:36" s="1066" customFormat="1" ht="20.100000000000001" customHeight="1" thickBot="1" x14ac:dyDescent="0.3">
      <c r="A219" s="1064"/>
      <c r="B219" s="1270"/>
      <c r="C219" s="1270"/>
      <c r="D219" s="1270"/>
      <c r="E219" s="1270"/>
      <c r="F219" s="1271"/>
      <c r="G219" s="1264"/>
      <c r="H219" s="1264"/>
      <c r="I219" s="1264"/>
      <c r="J219" s="1264"/>
      <c r="K219" s="1264"/>
      <c r="L219" s="1264"/>
      <c r="M219" s="1264"/>
      <c r="N219" s="1264"/>
      <c r="O219" s="1264"/>
      <c r="P219" s="1264"/>
      <c r="Q219" s="1264"/>
      <c r="R219" s="1264"/>
      <c r="S219" s="1264"/>
      <c r="T219" s="1264"/>
      <c r="U219" s="1264"/>
      <c r="V219" s="1264"/>
      <c r="W219" s="1264"/>
      <c r="X219" s="1264"/>
      <c r="Y219" s="1264"/>
      <c r="Z219" s="1264"/>
      <c r="AA219" s="1264"/>
      <c r="AG219" s="1266"/>
    </row>
    <row r="220" spans="1:36" s="1066" customFormat="1" ht="20.100000000000001" customHeight="1" thickBot="1" x14ac:dyDescent="0.3">
      <c r="A220" s="1064"/>
      <c r="B220" s="1064"/>
      <c r="C220" s="1193" t="s">
        <v>117</v>
      </c>
      <c r="D220" s="712">
        <v>2023</v>
      </c>
      <c r="E220" s="417">
        <f>D220+1</f>
        <v>2024</v>
      </c>
      <c r="F220" s="417">
        <f t="shared" ref="F220:X220" si="120">E220+1</f>
        <v>2025</v>
      </c>
      <c r="G220" s="417">
        <f t="shared" si="120"/>
        <v>2026</v>
      </c>
      <c r="H220" s="417">
        <f t="shared" si="120"/>
        <v>2027</v>
      </c>
      <c r="I220" s="417">
        <f t="shared" si="120"/>
        <v>2028</v>
      </c>
      <c r="J220" s="417">
        <f t="shared" si="120"/>
        <v>2029</v>
      </c>
      <c r="K220" s="417">
        <f t="shared" si="120"/>
        <v>2030</v>
      </c>
      <c r="L220" s="417">
        <f t="shared" si="120"/>
        <v>2031</v>
      </c>
      <c r="M220" s="417">
        <f t="shared" si="120"/>
        <v>2032</v>
      </c>
      <c r="N220" s="417">
        <f t="shared" si="120"/>
        <v>2033</v>
      </c>
      <c r="O220" s="417">
        <f t="shared" si="120"/>
        <v>2034</v>
      </c>
      <c r="P220" s="417">
        <f t="shared" si="120"/>
        <v>2035</v>
      </c>
      <c r="Q220" s="417">
        <f t="shared" si="120"/>
        <v>2036</v>
      </c>
      <c r="R220" s="417">
        <f t="shared" si="120"/>
        <v>2037</v>
      </c>
      <c r="S220" s="417">
        <f t="shared" si="120"/>
        <v>2038</v>
      </c>
      <c r="T220" s="417">
        <f t="shared" si="120"/>
        <v>2039</v>
      </c>
      <c r="U220" s="417">
        <f t="shared" si="120"/>
        <v>2040</v>
      </c>
      <c r="V220" s="417">
        <f t="shared" si="120"/>
        <v>2041</v>
      </c>
      <c r="W220" s="417">
        <f t="shared" si="120"/>
        <v>2042</v>
      </c>
      <c r="X220" s="713">
        <f t="shared" si="120"/>
        <v>2043</v>
      </c>
      <c r="Y220" s="1064"/>
      <c r="Z220" s="1064"/>
      <c r="AA220" s="1064"/>
      <c r="AB220" s="1064"/>
      <c r="AC220" s="1064"/>
      <c r="AD220" s="1064"/>
      <c r="AE220" s="1064"/>
      <c r="AF220" s="1064"/>
      <c r="AG220" s="1064"/>
      <c r="AH220" s="1064"/>
      <c r="AI220" s="1064"/>
      <c r="AJ220" s="1064"/>
    </row>
    <row r="221" spans="1:36" s="1066" customFormat="1" ht="20.100000000000001" customHeight="1" x14ac:dyDescent="0.35">
      <c r="A221" s="1064"/>
      <c r="B221" s="1158" t="s">
        <v>385</v>
      </c>
      <c r="C221" s="1172" t="s">
        <v>745</v>
      </c>
      <c r="D221" s="1166">
        <f>SUM(D214:D216)</f>
        <v>683770.3547608126</v>
      </c>
      <c r="E221" s="1162">
        <f t="shared" ref="E221:X221" si="121">SUM(E214:E216)</f>
        <v>696510.89465974201</v>
      </c>
      <c r="F221" s="1162">
        <f t="shared" si="121"/>
        <v>91731.556193255688</v>
      </c>
      <c r="G221" s="1162">
        <f t="shared" si="121"/>
        <v>93031.253088018959</v>
      </c>
      <c r="H221" s="1162">
        <f t="shared" si="121"/>
        <v>94346.227512515776</v>
      </c>
      <c r="I221" s="1162">
        <f t="shared" si="121"/>
        <v>75297.919448450237</v>
      </c>
      <c r="J221" s="1162">
        <f t="shared" si="121"/>
        <v>111111.31117220761</v>
      </c>
      <c r="K221" s="1162">
        <f t="shared" si="121"/>
        <v>112519.71553118638</v>
      </c>
      <c r="L221" s="1162">
        <f t="shared" si="121"/>
        <v>113944.24072624967</v>
      </c>
      <c r="M221" s="1162">
        <f t="shared" si="121"/>
        <v>115385.07478028706</v>
      </c>
      <c r="N221" s="1162">
        <f t="shared" si="121"/>
        <v>116842.40787321387</v>
      </c>
      <c r="O221" s="1162">
        <f t="shared" si="121"/>
        <v>132424.19599659264</v>
      </c>
      <c r="P221" s="1162">
        <f t="shared" si="121"/>
        <v>134004.09078707892</v>
      </c>
      <c r="Q221" s="1162">
        <f t="shared" si="121"/>
        <v>135601.79102851957</v>
      </c>
      <c r="R221" s="1162">
        <f t="shared" si="121"/>
        <v>105977.55877133986</v>
      </c>
      <c r="S221" s="1162">
        <f t="shared" si="121"/>
        <v>107350.12306482777</v>
      </c>
      <c r="T221" s="1162">
        <f t="shared" si="121"/>
        <v>108738.56454248745</v>
      </c>
      <c r="U221" s="1162">
        <f t="shared" si="121"/>
        <v>110143.06923743084</v>
      </c>
      <c r="V221" s="1162">
        <f t="shared" si="121"/>
        <v>117339.26621547752</v>
      </c>
      <c r="W221" s="1162">
        <f t="shared" si="121"/>
        <v>118813.34735306886</v>
      </c>
      <c r="X221" s="1163">
        <f t="shared" si="121"/>
        <v>120304.36276069153</v>
      </c>
      <c r="Y221" s="1162">
        <f>SUM(D221:X221)</f>
        <v>3495187.3255034541</v>
      </c>
      <c r="Z221" s="1064"/>
      <c r="AA221" s="1064"/>
      <c r="AB221" s="1064"/>
      <c r="AC221" s="1064"/>
      <c r="AD221" s="1064"/>
      <c r="AE221" s="1064"/>
      <c r="AF221" s="1064"/>
      <c r="AG221" s="1146"/>
      <c r="AH221" s="1064"/>
      <c r="AI221" s="1064"/>
      <c r="AJ221" s="1064"/>
    </row>
    <row r="222" spans="1:36" s="1066" customFormat="1" ht="20.100000000000001" customHeight="1" x14ac:dyDescent="0.35">
      <c r="A222" s="1064"/>
      <c r="B222" s="1158" t="s">
        <v>140</v>
      </c>
      <c r="C222" s="1172" t="s">
        <v>745</v>
      </c>
      <c r="D222" s="1166">
        <f>D217</f>
        <v>-2064631.8653772965</v>
      </c>
      <c r="E222" s="1162">
        <f t="shared" ref="E222:X222" si="122">E217</f>
        <v>-2144315.4561754777</v>
      </c>
      <c r="F222" s="1162">
        <f t="shared" si="122"/>
        <v>-23977.630879128046</v>
      </c>
      <c r="G222" s="1162">
        <f t="shared" si="122"/>
        <v>-21669.003669462094</v>
      </c>
      <c r="H222" s="1162">
        <f t="shared" si="122"/>
        <v>-19289.83729168573</v>
      </c>
      <c r="I222" s="1162">
        <f t="shared" si="122"/>
        <v>-16838.424283766126</v>
      </c>
      <c r="J222" s="1162">
        <f t="shared" si="122"/>
        <v>-36040.200925111945</v>
      </c>
      <c r="K222" s="1162">
        <f t="shared" si="122"/>
        <v>-33480.514173252974</v>
      </c>
      <c r="L222" s="1162">
        <f t="shared" si="122"/>
        <v>-30841.224948087256</v>
      </c>
      <c r="M222" s="1162">
        <f t="shared" si="122"/>
        <v>-28120.399692499457</v>
      </c>
      <c r="N222" s="1162">
        <f t="shared" si="122"/>
        <v>-25316.060449170869</v>
      </c>
      <c r="O222" s="1162">
        <f t="shared" si="122"/>
        <v>-33143.22993107872</v>
      </c>
      <c r="P222" s="1162">
        <f t="shared" si="122"/>
        <v>-30235.969991007074</v>
      </c>
      <c r="Q222" s="1162">
        <f t="shared" si="122"/>
        <v>-27239.445780165704</v>
      </c>
      <c r="R222" s="1162">
        <f t="shared" si="122"/>
        <v>-24151.494486911626</v>
      </c>
      <c r="S222" s="1162">
        <f t="shared" si="122"/>
        <v>-20969.903667966257</v>
      </c>
      <c r="T222" s="1162">
        <f t="shared" si="122"/>
        <v>-17692.410126326944</v>
      </c>
      <c r="U222" s="1162">
        <f t="shared" si="122"/>
        <v>-40928.447867841693</v>
      </c>
      <c r="V222" s="1162">
        <f t="shared" si="122"/>
        <v>-26801.423724867996</v>
      </c>
      <c r="W222" s="1162">
        <f t="shared" si="122"/>
        <v>-23154.365865645395</v>
      </c>
      <c r="X222" s="1163">
        <f t="shared" si="122"/>
        <v>-19397.504794918401</v>
      </c>
      <c r="Y222" s="1162">
        <f>SUM(D222:X222)</f>
        <v>-4708234.8141016662</v>
      </c>
      <c r="Z222" s="1064"/>
      <c r="AA222" s="1064"/>
      <c r="AB222" s="1064"/>
      <c r="AC222" s="1064"/>
      <c r="AD222" s="1064"/>
      <c r="AE222" s="1064"/>
      <c r="AF222" s="1064"/>
      <c r="AG222" s="1146"/>
      <c r="AH222" s="1064"/>
      <c r="AI222" s="1064"/>
      <c r="AJ222" s="1064"/>
    </row>
    <row r="223" spans="1:36" s="1066" customFormat="1" ht="20.100000000000001" customHeight="1" thickBot="1" x14ac:dyDescent="0.4">
      <c r="A223" s="1064"/>
      <c r="B223" s="1158" t="s">
        <v>5</v>
      </c>
      <c r="C223" s="1173" t="s">
        <v>745</v>
      </c>
      <c r="D223" s="1168">
        <f t="shared" ref="D223:X223" si="123">SUM(D221:D222)</f>
        <v>-1380861.5106164839</v>
      </c>
      <c r="E223" s="1169">
        <f t="shared" si="123"/>
        <v>-1447804.5615157357</v>
      </c>
      <c r="F223" s="1169">
        <f t="shared" si="123"/>
        <v>67753.925314127642</v>
      </c>
      <c r="G223" s="1169">
        <f t="shared" si="123"/>
        <v>71362.249418556865</v>
      </c>
      <c r="H223" s="1169">
        <f t="shared" si="123"/>
        <v>75056.390220830042</v>
      </c>
      <c r="I223" s="1169">
        <f t="shared" si="123"/>
        <v>58459.495164684107</v>
      </c>
      <c r="J223" s="1169">
        <f t="shared" si="123"/>
        <v>75071.110247095668</v>
      </c>
      <c r="K223" s="1169">
        <f t="shared" si="123"/>
        <v>79039.201357933402</v>
      </c>
      <c r="L223" s="1169">
        <f t="shared" si="123"/>
        <v>83103.015778162415</v>
      </c>
      <c r="M223" s="1169">
        <f t="shared" si="123"/>
        <v>87264.675087787604</v>
      </c>
      <c r="N223" s="1169">
        <f t="shared" si="123"/>
        <v>91526.347424043008</v>
      </c>
      <c r="O223" s="1169">
        <f t="shared" si="123"/>
        <v>99280.966065513916</v>
      </c>
      <c r="P223" s="1169">
        <f t="shared" si="123"/>
        <v>103768.12079607185</v>
      </c>
      <c r="Q223" s="1169">
        <f t="shared" si="123"/>
        <v>108362.34524835387</v>
      </c>
      <c r="R223" s="1169">
        <f t="shared" si="123"/>
        <v>81826.064284428227</v>
      </c>
      <c r="S223" s="1169">
        <f t="shared" si="123"/>
        <v>86380.219396861517</v>
      </c>
      <c r="T223" s="1169">
        <f t="shared" si="123"/>
        <v>91046.154416160512</v>
      </c>
      <c r="U223" s="1169">
        <f t="shared" si="123"/>
        <v>69214.621369589149</v>
      </c>
      <c r="V223" s="1169">
        <f t="shared" si="123"/>
        <v>90537.842490609517</v>
      </c>
      <c r="W223" s="1169">
        <f t="shared" si="123"/>
        <v>95658.981487423473</v>
      </c>
      <c r="X223" s="1170">
        <f t="shared" si="123"/>
        <v>100906.85796577312</v>
      </c>
      <c r="Y223" s="1162">
        <f>SUM(D223:X223)</f>
        <v>-1213047.4885982142</v>
      </c>
      <c r="Z223" s="1064"/>
      <c r="AA223" s="1064"/>
      <c r="AB223" s="1064"/>
      <c r="AC223" s="1064"/>
      <c r="AD223" s="1064"/>
      <c r="AE223" s="1064"/>
      <c r="AF223" s="1064"/>
      <c r="AG223" s="1146"/>
      <c r="AH223" s="1064"/>
      <c r="AI223" s="1064"/>
      <c r="AJ223" s="1064"/>
    </row>
    <row r="224" spans="1:36" s="1064" customFormat="1" ht="20.100000000000001" customHeight="1" x14ac:dyDescent="0.2">
      <c r="B224" s="995" t="s">
        <v>313</v>
      </c>
      <c r="C224" s="1095"/>
      <c r="D224" s="1146"/>
      <c r="E224" s="1146"/>
      <c r="F224" s="1146"/>
      <c r="G224" s="1146"/>
      <c r="H224" s="1146"/>
      <c r="I224" s="1146"/>
      <c r="J224" s="1146"/>
      <c r="K224" s="1146"/>
      <c r="L224" s="1146"/>
      <c r="M224" s="1146"/>
      <c r="N224" s="1146"/>
      <c r="O224" s="1146"/>
      <c r="P224" s="1146"/>
      <c r="Q224" s="1146"/>
      <c r="R224" s="1146"/>
      <c r="S224" s="1146"/>
      <c r="T224" s="1146"/>
      <c r="U224" s="1146"/>
      <c r="V224" s="1146"/>
      <c r="W224" s="1146"/>
      <c r="X224" s="1146"/>
      <c r="AG224" s="1146"/>
    </row>
    <row r="225" spans="1:36" s="1064" customFormat="1" ht="20.100000000000001" customHeight="1" x14ac:dyDescent="0.2">
      <c r="B225" s="1136"/>
      <c r="C225" s="1095" t="s">
        <v>494</v>
      </c>
      <c r="D225" s="1146">
        <f>D218-D223</f>
        <v>0</v>
      </c>
      <c r="E225" s="1146">
        <f t="shared" ref="E225:X225" si="124">E218-E223</f>
        <v>0</v>
      </c>
      <c r="F225" s="1146">
        <f t="shared" si="124"/>
        <v>0</v>
      </c>
      <c r="G225" s="1146">
        <f t="shared" si="124"/>
        <v>0</v>
      </c>
      <c r="H225" s="1146">
        <f t="shared" si="124"/>
        <v>0</v>
      </c>
      <c r="I225" s="1146">
        <f t="shared" si="124"/>
        <v>0</v>
      </c>
      <c r="J225" s="1146">
        <f t="shared" si="124"/>
        <v>0</v>
      </c>
      <c r="K225" s="1146">
        <f t="shared" si="124"/>
        <v>0</v>
      </c>
      <c r="L225" s="1146">
        <f t="shared" si="124"/>
        <v>0</v>
      </c>
      <c r="M225" s="1146">
        <f t="shared" si="124"/>
        <v>0</v>
      </c>
      <c r="N225" s="1146">
        <f t="shared" si="124"/>
        <v>0</v>
      </c>
      <c r="O225" s="1146">
        <f t="shared" si="124"/>
        <v>0</v>
      </c>
      <c r="P225" s="1146">
        <f t="shared" si="124"/>
        <v>0</v>
      </c>
      <c r="Q225" s="1146">
        <f t="shared" si="124"/>
        <v>0</v>
      </c>
      <c r="R225" s="1146">
        <f t="shared" si="124"/>
        <v>0</v>
      </c>
      <c r="S225" s="1146">
        <f t="shared" si="124"/>
        <v>0</v>
      </c>
      <c r="T225" s="1146">
        <f t="shared" si="124"/>
        <v>0</v>
      </c>
      <c r="U225" s="1146">
        <f t="shared" si="124"/>
        <v>0</v>
      </c>
      <c r="V225" s="1146">
        <f t="shared" si="124"/>
        <v>0</v>
      </c>
      <c r="W225" s="1146">
        <f t="shared" si="124"/>
        <v>0</v>
      </c>
      <c r="X225" s="1146">
        <f t="shared" si="124"/>
        <v>0</v>
      </c>
      <c r="AG225" s="1146"/>
    </row>
    <row r="226" spans="1:36" s="1064" customFormat="1" ht="20.100000000000001" customHeight="1" thickBot="1" x14ac:dyDescent="0.25">
      <c r="B226" s="1136"/>
      <c r="C226" s="1095"/>
      <c r="D226" s="1146"/>
      <c r="E226" s="1146"/>
      <c r="F226" s="1146"/>
      <c r="G226" s="1146"/>
      <c r="H226" s="1146"/>
      <c r="I226" s="1146"/>
      <c r="J226" s="1146"/>
      <c r="K226" s="1146"/>
      <c r="L226" s="1146"/>
      <c r="M226" s="1146"/>
      <c r="N226" s="1146"/>
      <c r="O226" s="1146"/>
      <c r="P226" s="1146"/>
      <c r="Q226" s="1146"/>
      <c r="R226" s="1146"/>
      <c r="S226" s="1146"/>
      <c r="T226" s="1146"/>
      <c r="U226" s="1146"/>
      <c r="V226" s="1146"/>
      <c r="W226" s="1146"/>
      <c r="X226" s="1146"/>
      <c r="AG226" s="1146"/>
    </row>
    <row r="227" spans="1:36" s="1066" customFormat="1" ht="20.100000000000001" customHeight="1" thickBot="1" x14ac:dyDescent="0.3">
      <c r="A227" s="1064"/>
      <c r="B227" s="1158" t="s">
        <v>583</v>
      </c>
      <c r="C227" s="1496" t="s">
        <v>117</v>
      </c>
      <c r="D227" s="712">
        <v>2023</v>
      </c>
      <c r="E227" s="417">
        <f>D227+1</f>
        <v>2024</v>
      </c>
      <c r="F227" s="417">
        <f t="shared" ref="F227:X227" si="125">E227+1</f>
        <v>2025</v>
      </c>
      <c r="G227" s="417">
        <f t="shared" si="125"/>
        <v>2026</v>
      </c>
      <c r="H227" s="417">
        <f t="shared" si="125"/>
        <v>2027</v>
      </c>
      <c r="I227" s="417">
        <f t="shared" si="125"/>
        <v>2028</v>
      </c>
      <c r="J227" s="417">
        <f t="shared" si="125"/>
        <v>2029</v>
      </c>
      <c r="K227" s="417">
        <f t="shared" si="125"/>
        <v>2030</v>
      </c>
      <c r="L227" s="417">
        <f t="shared" si="125"/>
        <v>2031</v>
      </c>
      <c r="M227" s="417">
        <f t="shared" si="125"/>
        <v>2032</v>
      </c>
      <c r="N227" s="417">
        <f t="shared" si="125"/>
        <v>2033</v>
      </c>
      <c r="O227" s="417">
        <f t="shared" si="125"/>
        <v>2034</v>
      </c>
      <c r="P227" s="417">
        <f t="shared" si="125"/>
        <v>2035</v>
      </c>
      <c r="Q227" s="417">
        <f t="shared" si="125"/>
        <v>2036</v>
      </c>
      <c r="R227" s="417">
        <f t="shared" si="125"/>
        <v>2037</v>
      </c>
      <c r="S227" s="417">
        <f t="shared" si="125"/>
        <v>2038</v>
      </c>
      <c r="T227" s="417">
        <f t="shared" si="125"/>
        <v>2039</v>
      </c>
      <c r="U227" s="417">
        <f t="shared" si="125"/>
        <v>2040</v>
      </c>
      <c r="V227" s="417">
        <f t="shared" si="125"/>
        <v>2041</v>
      </c>
      <c r="W227" s="417">
        <f t="shared" si="125"/>
        <v>2042</v>
      </c>
      <c r="X227" s="713">
        <f t="shared" si="125"/>
        <v>2043</v>
      </c>
      <c r="Y227" s="1064"/>
      <c r="Z227" s="1064"/>
      <c r="AA227" s="1064"/>
      <c r="AB227" s="1064"/>
      <c r="AC227" s="1064"/>
      <c r="AD227" s="1064"/>
      <c r="AE227" s="1064"/>
      <c r="AF227" s="1064"/>
      <c r="AG227" s="1064"/>
      <c r="AH227" s="1064"/>
      <c r="AI227" s="1064"/>
      <c r="AJ227" s="1064"/>
    </row>
    <row r="228" spans="1:36" s="1066" customFormat="1" ht="20.100000000000001" customHeight="1" thickBot="1" x14ac:dyDescent="0.4">
      <c r="A228" s="1064"/>
      <c r="B228" s="1158" t="s">
        <v>5</v>
      </c>
      <c r="C228" s="1167" t="s">
        <v>745</v>
      </c>
      <c r="D228" s="1169">
        <f>SUM(D188:D191)*$F$210</f>
        <v>5852040.7842276767</v>
      </c>
      <c r="E228" s="1169">
        <f t="shared" ref="E228:X228" si="126">SUM(E188:E191)*$F$210</f>
        <v>5959317.0647919122</v>
      </c>
      <c r="F228" s="1169">
        <f t="shared" si="126"/>
        <v>448624.60486462078</v>
      </c>
      <c r="G228" s="1169">
        <f t="shared" si="126"/>
        <v>451470.04728420428</v>
      </c>
      <c r="H228" s="1169">
        <f t="shared" si="126"/>
        <v>454336.73087583249</v>
      </c>
      <c r="I228" s="1169">
        <f t="shared" si="126"/>
        <v>457224.81923742773</v>
      </c>
      <c r="J228" s="1169">
        <f t="shared" si="126"/>
        <v>453561.91452047706</v>
      </c>
      <c r="K228" s="1169">
        <f t="shared" si="126"/>
        <v>456460.71853991842</v>
      </c>
      <c r="L228" s="1169">
        <f t="shared" si="126"/>
        <v>459380.87472380034</v>
      </c>
      <c r="M228" s="1169">
        <f t="shared" si="126"/>
        <v>462322.54507186986</v>
      </c>
      <c r="N228" s="1169">
        <f t="shared" si="126"/>
        <v>465285.89283232752</v>
      </c>
      <c r="O228" s="1169">
        <f t="shared" si="126"/>
        <v>464880.36495568487</v>
      </c>
      <c r="P228" s="1169">
        <f t="shared" si="126"/>
        <v>467868.80179175833</v>
      </c>
      <c r="Q228" s="1169">
        <f t="shared" si="126"/>
        <v>470879.15083057538</v>
      </c>
      <c r="R228" s="1169">
        <f t="shared" si="126"/>
        <v>473911.57738980179</v>
      </c>
      <c r="S228" s="1169">
        <f t="shared" si="126"/>
        <v>476966.24805425346</v>
      </c>
      <c r="T228" s="1169">
        <f t="shared" si="126"/>
        <v>480043.33068574249</v>
      </c>
      <c r="U228" s="1169">
        <f t="shared" si="126"/>
        <v>509754.74353692279</v>
      </c>
      <c r="V228" s="1169">
        <f t="shared" si="126"/>
        <v>507276.09230633703</v>
      </c>
      <c r="W228" s="1169">
        <f t="shared" si="126"/>
        <v>510560.06454859884</v>
      </c>
      <c r="X228" s="1170">
        <f t="shared" si="126"/>
        <v>513867.98323257547</v>
      </c>
      <c r="Y228" s="1162">
        <f>SUM(D228:X228)</f>
        <v>20796034.354302324</v>
      </c>
      <c r="Z228" s="1064"/>
      <c r="AA228" s="1064"/>
      <c r="AB228" s="1064"/>
      <c r="AC228" s="1064"/>
      <c r="AD228" s="1064"/>
      <c r="AE228" s="1064"/>
      <c r="AF228" s="1064"/>
      <c r="AG228" s="1146"/>
      <c r="AH228" s="1064"/>
      <c r="AI228" s="1064"/>
      <c r="AJ228" s="1064"/>
    </row>
    <row r="229" spans="1:36" s="1064" customFormat="1" ht="20.100000000000001" customHeight="1" x14ac:dyDescent="0.2">
      <c r="B229" s="1136"/>
      <c r="C229" s="1095"/>
      <c r="D229" s="1146"/>
      <c r="E229" s="1146"/>
      <c r="F229" s="1146"/>
      <c r="G229" s="1146"/>
      <c r="H229" s="1146"/>
      <c r="I229" s="1146"/>
      <c r="J229" s="1146"/>
      <c r="K229" s="1146"/>
      <c r="L229" s="1146"/>
      <c r="M229" s="1146"/>
      <c r="N229" s="1146"/>
      <c r="O229" s="1146"/>
      <c r="P229" s="1146"/>
      <c r="Q229" s="1146"/>
      <c r="R229" s="1146"/>
      <c r="S229" s="1146"/>
      <c r="T229" s="1146"/>
      <c r="U229" s="1146"/>
      <c r="V229" s="1146"/>
      <c r="W229" s="1146"/>
      <c r="X229" s="1146"/>
      <c r="AG229" s="1146"/>
    </row>
    <row r="230" spans="1:36" s="1066" customFormat="1" ht="14.25" x14ac:dyDescent="0.25">
      <c r="A230" s="1064"/>
    </row>
    <row r="231" spans="1:36" s="1066" customFormat="1" ht="26.25" x14ac:dyDescent="0.4">
      <c r="A231" s="1064"/>
      <c r="B231" s="1092" t="s">
        <v>367</v>
      </c>
      <c r="C231" s="1092"/>
      <c r="D231" s="1092"/>
      <c r="E231" s="1092"/>
      <c r="F231" s="1092"/>
      <c r="G231" s="1092"/>
      <c r="H231" s="1092"/>
      <c r="I231" s="1092"/>
      <c r="J231" s="1092"/>
      <c r="K231" s="1092"/>
      <c r="L231" s="1092"/>
      <c r="M231" s="1092"/>
      <c r="N231" s="1092"/>
      <c r="O231" s="1092"/>
      <c r="P231" s="1092"/>
      <c r="Q231" s="1092"/>
      <c r="R231" s="1092"/>
      <c r="S231" s="1092"/>
      <c r="T231" s="1092"/>
      <c r="U231" s="1092"/>
      <c r="V231" s="1092"/>
      <c r="W231" s="1092"/>
      <c r="X231" s="1092"/>
    </row>
    <row r="232" spans="1:36" s="1066" customFormat="1" ht="14.25" x14ac:dyDescent="0.25">
      <c r="A232" s="1064"/>
    </row>
    <row r="233" spans="1:36" s="1066" customFormat="1" ht="25.5" customHeight="1" thickBot="1" x14ac:dyDescent="0.45">
      <c r="A233" s="1064"/>
      <c r="D233" s="1840" t="s">
        <v>327</v>
      </c>
      <c r="E233" s="1840"/>
      <c r="F233" s="1840"/>
      <c r="G233" s="1840"/>
      <c r="H233" s="1840"/>
      <c r="I233" s="1840"/>
      <c r="J233" s="1840"/>
      <c r="K233" s="1840"/>
      <c r="L233" s="1840"/>
      <c r="M233" s="1840"/>
      <c r="N233" s="1840"/>
      <c r="O233" s="1840"/>
      <c r="P233" s="1840"/>
      <c r="Q233" s="1840"/>
      <c r="R233" s="1840"/>
      <c r="S233" s="1840"/>
      <c r="T233" s="1840"/>
      <c r="U233" s="1840"/>
      <c r="V233" s="1840"/>
      <c r="W233" s="1840"/>
      <c r="X233" s="1840"/>
    </row>
    <row r="234" spans="1:36" s="1066" customFormat="1" ht="20.100000000000001" customHeight="1" thickBot="1" x14ac:dyDescent="0.3">
      <c r="A234" s="1064"/>
      <c r="B234" s="1094"/>
      <c r="C234" s="1193" t="s">
        <v>117</v>
      </c>
      <c r="D234" s="719">
        <v>2023</v>
      </c>
      <c r="E234" s="717">
        <f>D234+1</f>
        <v>2024</v>
      </c>
      <c r="F234" s="717">
        <f t="shared" ref="F234:X234" si="127">E234+1</f>
        <v>2025</v>
      </c>
      <c r="G234" s="717">
        <f t="shared" si="127"/>
        <v>2026</v>
      </c>
      <c r="H234" s="717">
        <f t="shared" si="127"/>
        <v>2027</v>
      </c>
      <c r="I234" s="717">
        <f t="shared" si="127"/>
        <v>2028</v>
      </c>
      <c r="J234" s="717">
        <f t="shared" si="127"/>
        <v>2029</v>
      </c>
      <c r="K234" s="717">
        <f t="shared" si="127"/>
        <v>2030</v>
      </c>
      <c r="L234" s="717">
        <f t="shared" si="127"/>
        <v>2031</v>
      </c>
      <c r="M234" s="717">
        <f t="shared" si="127"/>
        <v>2032</v>
      </c>
      <c r="N234" s="717">
        <f t="shared" si="127"/>
        <v>2033</v>
      </c>
      <c r="O234" s="717">
        <f t="shared" si="127"/>
        <v>2034</v>
      </c>
      <c r="P234" s="717">
        <f t="shared" si="127"/>
        <v>2035</v>
      </c>
      <c r="Q234" s="717">
        <f t="shared" si="127"/>
        <v>2036</v>
      </c>
      <c r="R234" s="717">
        <f t="shared" si="127"/>
        <v>2037</v>
      </c>
      <c r="S234" s="717">
        <f t="shared" si="127"/>
        <v>2038</v>
      </c>
      <c r="T234" s="717">
        <f t="shared" si="127"/>
        <v>2039</v>
      </c>
      <c r="U234" s="717">
        <f t="shared" si="127"/>
        <v>2040</v>
      </c>
      <c r="V234" s="717">
        <f t="shared" si="127"/>
        <v>2041</v>
      </c>
      <c r="W234" s="717">
        <f t="shared" si="127"/>
        <v>2042</v>
      </c>
      <c r="X234" s="718">
        <f t="shared" si="127"/>
        <v>2043</v>
      </c>
    </row>
    <row r="235" spans="1:36" s="1066" customFormat="1" ht="20.100000000000001" customHeight="1" x14ac:dyDescent="0.2">
      <c r="A235" s="1064"/>
      <c r="B235" s="1225" t="s">
        <v>287</v>
      </c>
      <c r="C235" s="1159" t="s">
        <v>60</v>
      </c>
      <c r="D235" s="1655">
        <f>VLOOKUP(MROUND(D24,5),'EmissRates MOVES2014'!$C$37:$G$52,4)</f>
        <v>1.6617194332497753E-2</v>
      </c>
      <c r="E235" s="1272">
        <f>VLOOKUP(MROUND(E24,5),'EmissRates MOVES2014'!$C$37:$G$52,4)</f>
        <v>1.6617194332497753E-2</v>
      </c>
      <c r="F235" s="1273">
        <f>VLOOKUP(MROUND(F24,5),'EmissRates MOVES2014'!$Z$37:$AE$52,4)</f>
        <v>6.3392182414033346E-3</v>
      </c>
      <c r="G235" s="1273">
        <f>VLOOKUP(MROUND(G24,5),'EmissRates MOVES2014'!$Z$37:$AE$52,4)</f>
        <v>6.3392182414033346E-3</v>
      </c>
      <c r="H235" s="1273">
        <f>VLOOKUP(MROUND(H24,5),'EmissRates MOVES2014'!$Z$37:$AE$52,4)</f>
        <v>6.3392182414033346E-3</v>
      </c>
      <c r="I235" s="1273">
        <f>VLOOKUP(MROUND(I24,5),'EmissRates MOVES2014'!$Z$37:$AE$52,4)</f>
        <v>6.3392182414033346E-3</v>
      </c>
      <c r="J235" s="1273">
        <f>VLOOKUP(MROUND(J24,5),'EmissRates MOVES2014'!$Z$37:$AE$52,4)</f>
        <v>6.6132330028729142E-3</v>
      </c>
      <c r="K235" s="1273">
        <f>VLOOKUP(MROUND(K24,5),'EmissRates MOVES2014'!$Z$37:$AE$52,4)</f>
        <v>6.6132330028729142E-3</v>
      </c>
      <c r="L235" s="1273">
        <f>VLOOKUP(MROUND(L24,5),'EmissRates MOVES2014'!$Z$37:$AE$52,4)</f>
        <v>6.6132330028729142E-3</v>
      </c>
      <c r="M235" s="1273">
        <f>VLOOKUP(MROUND(M24,5),'EmissRates MOVES2014'!$Z$37:$AE$52,4)</f>
        <v>6.6132330028729142E-3</v>
      </c>
      <c r="N235" s="1273">
        <f>VLOOKUP(MROUND(N24,5),'EmissRates MOVES2014'!$Z$37:$AE$52,4)</f>
        <v>6.6132330028729142E-3</v>
      </c>
      <c r="O235" s="1273">
        <f>VLOOKUP(MROUND(O24,5),'EmissRates MOVES2014'!$Z$37:$AE$52,4)</f>
        <v>7.4346667308323256E-3</v>
      </c>
      <c r="P235" s="1273">
        <f>VLOOKUP(MROUND(P24,5),'EmissRates MOVES2014'!$Z$37:$AE$52,4)</f>
        <v>7.4346667308323256E-3</v>
      </c>
      <c r="Q235" s="1273">
        <f>VLOOKUP(MROUND(Q24,5),'EmissRates MOVES2014'!$Z$37:$AE$52,4)</f>
        <v>7.4346667308323256E-3</v>
      </c>
      <c r="R235" s="1273">
        <f>VLOOKUP(MROUND(R24,5),'EmissRates MOVES2014'!$Z$37:$AE$52,4)</f>
        <v>7.4346667308323256E-3</v>
      </c>
      <c r="S235" s="1273">
        <f>VLOOKUP(MROUND(S24,5),'EmissRates MOVES2014'!$Z$37:$AE$52,4)</f>
        <v>7.4346667308323256E-3</v>
      </c>
      <c r="T235" s="1273">
        <f>VLOOKUP(MROUND(T24,5),'EmissRates MOVES2014'!$Z$37:$AE$52,4)</f>
        <v>7.4346667308323256E-3</v>
      </c>
      <c r="U235" s="1273">
        <f>VLOOKUP(MROUND(U24,5),'EmissRates MOVES2014'!$Z$37:$AE$52,4)</f>
        <v>7.4346667308323256E-3</v>
      </c>
      <c r="V235" s="1273">
        <f>VLOOKUP(MROUND(V24,5),'EmissRates MOVES2014'!$Z$37:$AE$52,4)</f>
        <v>8.9365619302924758E-3</v>
      </c>
      <c r="W235" s="1273">
        <f>VLOOKUP(MROUND(W24,5),'EmissRates MOVES2014'!$Z$37:$AE$52,4)</f>
        <v>8.9365619302924758E-3</v>
      </c>
      <c r="X235" s="1274">
        <f>VLOOKUP(MROUND(X24,5),'EmissRates MOVES2014'!$Z$37:$AE$52,4)</f>
        <v>8.9365619302924758E-3</v>
      </c>
    </row>
    <row r="236" spans="1:36" s="1066" customFormat="1" ht="20.100000000000001" customHeight="1" x14ac:dyDescent="0.2">
      <c r="A236" s="1064"/>
      <c r="B236" s="1225" t="s">
        <v>288</v>
      </c>
      <c r="C236" s="1165" t="s">
        <v>60</v>
      </c>
      <c r="D236" s="1656">
        <f>VLOOKUP(MROUND(D25,5),'EmissRates MOVES2014'!$C$37:$G$52,4)</f>
        <v>1.6617194332497753E-2</v>
      </c>
      <c r="E236" s="1096">
        <f>VLOOKUP(MROUND(E25,5),'EmissRates MOVES2014'!$C$37:$G$52,4)</f>
        <v>1.6617194332497753E-2</v>
      </c>
      <c r="F236" s="1275">
        <f>VLOOKUP(MROUND(F25,5),'EmissRates MOVES2014'!$Z$37:$AE$52,4)</f>
        <v>6.3392182414033346E-3</v>
      </c>
      <c r="G236" s="1275">
        <f>VLOOKUP(MROUND(G25,5),'EmissRates MOVES2014'!$Z$37:$AE$52,4)</f>
        <v>6.3392182414033346E-3</v>
      </c>
      <c r="H236" s="1275">
        <f>VLOOKUP(MROUND(H25,5),'EmissRates MOVES2014'!$Z$37:$AE$52,4)</f>
        <v>6.3392182414033346E-3</v>
      </c>
      <c r="I236" s="1275">
        <f>VLOOKUP(MROUND(I25,5),'EmissRates MOVES2014'!$Z$37:$AE$52,4)</f>
        <v>6.3392182414033346E-3</v>
      </c>
      <c r="J236" s="1275">
        <f>VLOOKUP(MROUND(J25,5),'EmissRates MOVES2014'!$Z$37:$AE$52,4)</f>
        <v>6.6132330028729142E-3</v>
      </c>
      <c r="K236" s="1275">
        <f>VLOOKUP(MROUND(K25,5),'EmissRates MOVES2014'!$Z$37:$AE$52,4)</f>
        <v>6.6132330028729142E-3</v>
      </c>
      <c r="L236" s="1275">
        <f>VLOOKUP(MROUND(L25,5),'EmissRates MOVES2014'!$Z$37:$AE$52,4)</f>
        <v>6.6132330028729142E-3</v>
      </c>
      <c r="M236" s="1275">
        <f>VLOOKUP(MROUND(M25,5),'EmissRates MOVES2014'!$Z$37:$AE$52,4)</f>
        <v>6.6132330028729142E-3</v>
      </c>
      <c r="N236" s="1275">
        <f>VLOOKUP(MROUND(N25,5),'EmissRates MOVES2014'!$Z$37:$AE$52,4)</f>
        <v>6.6132330028729142E-3</v>
      </c>
      <c r="O236" s="1275">
        <f>VLOOKUP(MROUND(O25,5),'EmissRates MOVES2014'!$Z$37:$AE$52,4)</f>
        <v>7.4346667308323256E-3</v>
      </c>
      <c r="P236" s="1275">
        <f>VLOOKUP(MROUND(P25,5),'EmissRates MOVES2014'!$Z$37:$AE$52,4)</f>
        <v>7.4346667308323256E-3</v>
      </c>
      <c r="Q236" s="1275">
        <f>VLOOKUP(MROUND(Q25,5),'EmissRates MOVES2014'!$Z$37:$AE$52,4)</f>
        <v>7.4346667308323256E-3</v>
      </c>
      <c r="R236" s="1275">
        <f>VLOOKUP(MROUND(R25,5),'EmissRates MOVES2014'!$Z$37:$AE$52,4)</f>
        <v>7.4346667308323256E-3</v>
      </c>
      <c r="S236" s="1275">
        <f>VLOOKUP(MROUND(S25,5),'EmissRates MOVES2014'!$Z$37:$AE$52,4)</f>
        <v>7.4346667308323256E-3</v>
      </c>
      <c r="T236" s="1275">
        <f>VLOOKUP(MROUND(T25,5),'EmissRates MOVES2014'!$Z$37:$AE$52,4)</f>
        <v>7.4346667308323256E-3</v>
      </c>
      <c r="U236" s="1275">
        <f>VLOOKUP(MROUND(U25,5),'EmissRates MOVES2014'!$Z$37:$AE$52,4)</f>
        <v>7.4346667308323256E-3</v>
      </c>
      <c r="V236" s="1275">
        <f>VLOOKUP(MROUND(V25,5),'EmissRates MOVES2014'!$Z$37:$AE$52,4)</f>
        <v>8.9365619302924758E-3</v>
      </c>
      <c r="W236" s="1275">
        <f>VLOOKUP(MROUND(W25,5),'EmissRates MOVES2014'!$Z$37:$AE$52,4)</f>
        <v>8.9365619302924758E-3</v>
      </c>
      <c r="X236" s="1276">
        <f>VLOOKUP(MROUND(X25,5),'EmissRates MOVES2014'!$Z$37:$AE$52,4)</f>
        <v>8.9365619302924758E-3</v>
      </c>
    </row>
    <row r="237" spans="1:36" s="1066" customFormat="1" ht="20.100000000000001" customHeight="1" x14ac:dyDescent="0.2">
      <c r="A237" s="1064"/>
      <c r="B237" s="1225" t="s">
        <v>289</v>
      </c>
      <c r="C237" s="1165" t="s">
        <v>60</v>
      </c>
      <c r="D237" s="1656">
        <f>VLOOKUP(MROUND(D26,5),'EmissRates MOVES2014'!$C$37:$G$52,4)</f>
        <v>1.6617194332497753E-2</v>
      </c>
      <c r="E237" s="1096">
        <f>VLOOKUP(MROUND(E26,5),'EmissRates MOVES2014'!$C$37:$G$52,4)</f>
        <v>1.6617194332497753E-2</v>
      </c>
      <c r="F237" s="1275">
        <f>VLOOKUP(MROUND(F26,5),'EmissRates MOVES2014'!$Z$37:$AE$52,4)</f>
        <v>6.3392182414033346E-3</v>
      </c>
      <c r="G237" s="1275">
        <f>VLOOKUP(MROUND(G26,5),'EmissRates MOVES2014'!$Z$37:$AE$52,4)</f>
        <v>6.3392182414033346E-3</v>
      </c>
      <c r="H237" s="1275">
        <f>VLOOKUP(MROUND(H26,5),'EmissRates MOVES2014'!$Z$37:$AE$52,4)</f>
        <v>6.3392182414033346E-3</v>
      </c>
      <c r="I237" s="1275">
        <f>VLOOKUP(MROUND(I26,5),'EmissRates MOVES2014'!$Z$37:$AE$52,4)</f>
        <v>6.3392182414033346E-3</v>
      </c>
      <c r="J237" s="1275">
        <f>VLOOKUP(MROUND(J26,5),'EmissRates MOVES2014'!$Z$37:$AE$52,4)</f>
        <v>6.6132330028729142E-3</v>
      </c>
      <c r="K237" s="1275">
        <f>VLOOKUP(MROUND(K26,5),'EmissRates MOVES2014'!$Z$37:$AE$52,4)</f>
        <v>6.6132330028729142E-3</v>
      </c>
      <c r="L237" s="1275">
        <f>VLOOKUP(MROUND(L26,5),'EmissRates MOVES2014'!$Z$37:$AE$52,4)</f>
        <v>6.6132330028729142E-3</v>
      </c>
      <c r="M237" s="1275">
        <f>VLOOKUP(MROUND(M26,5),'EmissRates MOVES2014'!$Z$37:$AE$52,4)</f>
        <v>6.6132330028729142E-3</v>
      </c>
      <c r="N237" s="1275">
        <f>VLOOKUP(MROUND(N26,5),'EmissRates MOVES2014'!$Z$37:$AE$52,4)</f>
        <v>6.6132330028729142E-3</v>
      </c>
      <c r="O237" s="1275">
        <f>VLOOKUP(MROUND(O26,5),'EmissRates MOVES2014'!$Z$37:$AE$52,4)</f>
        <v>7.4346667308323256E-3</v>
      </c>
      <c r="P237" s="1275">
        <f>VLOOKUP(MROUND(P26,5),'EmissRates MOVES2014'!$Z$37:$AE$52,4)</f>
        <v>7.4346667308323256E-3</v>
      </c>
      <c r="Q237" s="1275">
        <f>VLOOKUP(MROUND(Q26,5),'EmissRates MOVES2014'!$Z$37:$AE$52,4)</f>
        <v>7.4346667308323256E-3</v>
      </c>
      <c r="R237" s="1275">
        <f>VLOOKUP(MROUND(R26,5),'EmissRates MOVES2014'!$Z$37:$AE$52,4)</f>
        <v>7.4346667308323256E-3</v>
      </c>
      <c r="S237" s="1275">
        <f>VLOOKUP(MROUND(S26,5),'EmissRates MOVES2014'!$Z$37:$AE$52,4)</f>
        <v>7.4346667308323256E-3</v>
      </c>
      <c r="T237" s="1275">
        <f>VLOOKUP(MROUND(T26,5),'EmissRates MOVES2014'!$Z$37:$AE$52,4)</f>
        <v>7.4346667308323256E-3</v>
      </c>
      <c r="U237" s="1275">
        <f>VLOOKUP(MROUND(U26,5),'EmissRates MOVES2014'!$Z$37:$AE$52,4)</f>
        <v>7.4346667308323256E-3</v>
      </c>
      <c r="V237" s="1275">
        <f>VLOOKUP(MROUND(V26,5),'EmissRates MOVES2014'!$Z$37:$AE$52,4)</f>
        <v>8.9365619302924758E-3</v>
      </c>
      <c r="W237" s="1275">
        <f>VLOOKUP(MROUND(W26,5),'EmissRates MOVES2014'!$Z$37:$AE$52,4)</f>
        <v>8.9365619302924758E-3</v>
      </c>
      <c r="X237" s="1276">
        <f>VLOOKUP(MROUND(X26,5),'EmissRates MOVES2014'!$Z$37:$AE$52,4)</f>
        <v>8.9365619302924758E-3</v>
      </c>
    </row>
    <row r="238" spans="1:36" s="1066" customFormat="1" ht="20.100000000000001" customHeight="1" thickBot="1" x14ac:dyDescent="0.25">
      <c r="A238" s="1064"/>
      <c r="B238" s="1228" t="s">
        <v>140</v>
      </c>
      <c r="C238" s="1167" t="s">
        <v>60</v>
      </c>
      <c r="D238" s="1657">
        <f>VLOOKUP(MROUND(D27,5),'EmissRates MOVES2014'!$C$37:$U$52,19)</f>
        <v>0.30317005300895394</v>
      </c>
      <c r="E238" s="1277">
        <f>VLOOKUP(MROUND(E27,5),'EmissRates MOVES2014'!$C$37:$U$52,19)</f>
        <v>0.32947137714819247</v>
      </c>
      <c r="F238" s="1278">
        <f>VLOOKUP(MROUND(F27,5),'EmissRates MOVES2014'!$Z$37:$AR$52,19)</f>
        <v>1.4230913575220093E-2</v>
      </c>
      <c r="G238" s="1278">
        <f>VLOOKUP(MROUND(G27,5),'EmissRates MOVES2014'!$Z$37:$AR$52,19)</f>
        <v>1.4230913575220093E-2</v>
      </c>
      <c r="H238" s="1278">
        <f>VLOOKUP(MROUND(H27,5),'EmissRates MOVES2014'!$Z$37:$AR$52,19)</f>
        <v>1.4230913575220093E-2</v>
      </c>
      <c r="I238" s="1278">
        <f>VLOOKUP(MROUND(I27,5),'EmissRates MOVES2014'!$Z$37:$AR$52,19)</f>
        <v>1.4230913575220093E-2</v>
      </c>
      <c r="J238" s="1278">
        <f>VLOOKUP(MROUND(J27,5),'EmissRates MOVES2014'!$Z$37:$AR$52,19)</f>
        <v>1.7803497934341567E-2</v>
      </c>
      <c r="K238" s="1278">
        <f>VLOOKUP(MROUND(K27,5),'EmissRates MOVES2014'!$Z$37:$AR$52,19)</f>
        <v>1.7803497934341567E-2</v>
      </c>
      <c r="L238" s="1278">
        <f>VLOOKUP(MROUND(L27,5),'EmissRates MOVES2014'!$Z$37:$AR$52,19)</f>
        <v>1.7803497934341567E-2</v>
      </c>
      <c r="M238" s="1278">
        <f>VLOOKUP(MROUND(M27,5),'EmissRates MOVES2014'!$Z$37:$AR$52,19)</f>
        <v>1.7803497934341567E-2</v>
      </c>
      <c r="N238" s="1278">
        <f>VLOOKUP(MROUND(N27,5),'EmissRates MOVES2014'!$Z$37:$AR$52,19)</f>
        <v>1.7803497934341567E-2</v>
      </c>
      <c r="O238" s="1278">
        <f>VLOOKUP(MROUND(O27,5),'EmissRates MOVES2014'!$Z$37:$AR$52,19)</f>
        <v>2.0373520399530998E-2</v>
      </c>
      <c r="P238" s="1278">
        <f>VLOOKUP(MROUND(P27,5),'EmissRates MOVES2014'!$Z$37:$AR$52,19)</f>
        <v>2.0373520399530998E-2</v>
      </c>
      <c r="Q238" s="1278">
        <f>VLOOKUP(MROUND(Q27,5),'EmissRates MOVES2014'!$Z$37:$AR$52,19)</f>
        <v>2.0373520399530998E-2</v>
      </c>
      <c r="R238" s="1278">
        <f>VLOOKUP(MROUND(R27,5),'EmissRates MOVES2014'!$Z$37:$AR$52,19)</f>
        <v>2.0373520399530998E-2</v>
      </c>
      <c r="S238" s="1278">
        <f>VLOOKUP(MROUND(S27,5),'EmissRates MOVES2014'!$Z$37:$AR$52,19)</f>
        <v>2.0373520399530998E-2</v>
      </c>
      <c r="T238" s="1278">
        <f>VLOOKUP(MROUND(T27,5),'EmissRates MOVES2014'!$Z$37:$AR$52,19)</f>
        <v>2.0373520399530998E-2</v>
      </c>
      <c r="U238" s="1278">
        <f>VLOOKUP(MROUND(U27,5),'EmissRates MOVES2014'!$Z$37:$AR$52,19)</f>
        <v>2.2765858177994876E-2</v>
      </c>
      <c r="V238" s="1278">
        <f>VLOOKUP(MROUND(V27,5),'EmissRates MOVES2014'!$Z$37:$AR$52,19)</f>
        <v>2.2765858177994876E-2</v>
      </c>
      <c r="W238" s="1278">
        <f>VLOOKUP(MROUND(W27,5),'EmissRates MOVES2014'!$Z$37:$AR$52,19)</f>
        <v>2.2765858177994876E-2</v>
      </c>
      <c r="X238" s="1279">
        <f>VLOOKUP(MROUND(X27,5),'EmissRates MOVES2014'!$Z$37:$AR$52,19)</f>
        <v>2.2765858177994876E-2</v>
      </c>
    </row>
    <row r="239" spans="1:36" s="1066" customFormat="1" ht="20.100000000000001" customHeight="1" x14ac:dyDescent="0.25">
      <c r="A239" s="1064"/>
      <c r="B239" s="1090"/>
    </row>
    <row r="240" spans="1:36" s="1066" customFormat="1" ht="20.100000000000001" customHeight="1" thickBot="1" x14ac:dyDescent="0.45">
      <c r="A240" s="1064"/>
      <c r="B240" s="1090"/>
      <c r="D240" s="1840" t="s">
        <v>326</v>
      </c>
      <c r="E240" s="1840"/>
      <c r="F240" s="1840"/>
      <c r="G240" s="1840"/>
      <c r="H240" s="1840"/>
      <c r="I240" s="1840"/>
      <c r="J240" s="1840"/>
      <c r="K240" s="1840"/>
      <c r="L240" s="1840"/>
      <c r="M240" s="1840"/>
      <c r="N240" s="1840"/>
      <c r="O240" s="1840"/>
      <c r="P240" s="1840"/>
      <c r="Q240" s="1840"/>
      <c r="R240" s="1840"/>
      <c r="S240" s="1840"/>
      <c r="T240" s="1840"/>
      <c r="U240" s="1840"/>
      <c r="V240" s="1840"/>
      <c r="W240" s="1840"/>
      <c r="X240" s="1840"/>
    </row>
    <row r="241" spans="1:36" s="1066" customFormat="1" ht="20.100000000000001" customHeight="1" thickBot="1" x14ac:dyDescent="0.3">
      <c r="A241" s="1064"/>
      <c r="B241" s="1094"/>
      <c r="C241" s="1193" t="s">
        <v>117</v>
      </c>
      <c r="D241" s="712">
        <v>2023</v>
      </c>
      <c r="E241" s="417">
        <f>D241+1</f>
        <v>2024</v>
      </c>
      <c r="F241" s="417">
        <f t="shared" ref="F241:X241" si="128">E241+1</f>
        <v>2025</v>
      </c>
      <c r="G241" s="417">
        <f t="shared" si="128"/>
        <v>2026</v>
      </c>
      <c r="H241" s="417">
        <f t="shared" si="128"/>
        <v>2027</v>
      </c>
      <c r="I241" s="417">
        <f t="shared" si="128"/>
        <v>2028</v>
      </c>
      <c r="J241" s="417">
        <f t="shared" si="128"/>
        <v>2029</v>
      </c>
      <c r="K241" s="417">
        <f t="shared" si="128"/>
        <v>2030</v>
      </c>
      <c r="L241" s="417">
        <f t="shared" si="128"/>
        <v>2031</v>
      </c>
      <c r="M241" s="417">
        <f t="shared" si="128"/>
        <v>2032</v>
      </c>
      <c r="N241" s="417">
        <f t="shared" si="128"/>
        <v>2033</v>
      </c>
      <c r="O241" s="417">
        <f t="shared" si="128"/>
        <v>2034</v>
      </c>
      <c r="P241" s="417">
        <f t="shared" si="128"/>
        <v>2035</v>
      </c>
      <c r="Q241" s="417">
        <f t="shared" si="128"/>
        <v>2036</v>
      </c>
      <c r="R241" s="417">
        <f t="shared" si="128"/>
        <v>2037</v>
      </c>
      <c r="S241" s="417">
        <f t="shared" si="128"/>
        <v>2038</v>
      </c>
      <c r="T241" s="417">
        <f t="shared" si="128"/>
        <v>2039</v>
      </c>
      <c r="U241" s="417">
        <f t="shared" si="128"/>
        <v>2040</v>
      </c>
      <c r="V241" s="417">
        <f t="shared" si="128"/>
        <v>2041</v>
      </c>
      <c r="W241" s="417">
        <f t="shared" si="128"/>
        <v>2042</v>
      </c>
      <c r="X241" s="713">
        <f t="shared" si="128"/>
        <v>2043</v>
      </c>
    </row>
    <row r="242" spans="1:36" s="1066" customFormat="1" ht="20.100000000000001" customHeight="1" x14ac:dyDescent="0.2">
      <c r="A242" s="1064"/>
      <c r="B242" s="1225" t="s">
        <v>287</v>
      </c>
      <c r="C242" s="1171" t="s">
        <v>60</v>
      </c>
      <c r="D242" s="1096">
        <f>VLOOKUP(MROUND(D31,5),'EmissRates MOVES2014'!$C$37:$G$52,4)</f>
        <v>1.678308142694605E-2</v>
      </c>
      <c r="E242" s="1096">
        <f>VLOOKUP(MROUND(E31,5),'EmissRates MOVES2014'!$C$37:$G$52,4)</f>
        <v>1.678308142694605E-2</v>
      </c>
      <c r="F242" s="1275">
        <f>VLOOKUP(MROUND(F31,5),'EmissRates MOVES2014'!$Z$37:$AE$52,4)</f>
        <v>5.8609770037094293E-3</v>
      </c>
      <c r="G242" s="1275">
        <f>VLOOKUP(MROUND(G31,5),'EmissRates MOVES2014'!$Z$37:$AE$52,4)</f>
        <v>5.8609770037094293E-3</v>
      </c>
      <c r="H242" s="1275">
        <f>VLOOKUP(MROUND(H31,5),'EmissRates MOVES2014'!$Z$37:$AE$52,4)</f>
        <v>5.8609770037094293E-3</v>
      </c>
      <c r="I242" s="1275">
        <f>VLOOKUP(MROUND(I31,5),'EmissRates MOVES2014'!$Z$37:$AE$52,4)</f>
        <v>6.1142349458742215E-3</v>
      </c>
      <c r="J242" s="1275">
        <f>VLOOKUP(MROUND(J31,5),'EmissRates MOVES2014'!$Z$37:$AE$52,4)</f>
        <v>6.1142349458742215E-3</v>
      </c>
      <c r="K242" s="1275">
        <f>VLOOKUP(MROUND(K31,5),'EmissRates MOVES2014'!$Z$37:$AE$52,4)</f>
        <v>6.1142349458742215E-3</v>
      </c>
      <c r="L242" s="1275">
        <f>VLOOKUP(MROUND(L31,5),'EmissRates MOVES2014'!$Z$37:$AE$52,4)</f>
        <v>6.1142349458742215E-3</v>
      </c>
      <c r="M242" s="1275">
        <f>VLOOKUP(MROUND(M31,5),'EmissRates MOVES2014'!$Z$37:$AE$52,4)</f>
        <v>6.1142349458742215E-3</v>
      </c>
      <c r="N242" s="1275">
        <f>VLOOKUP(MROUND(N31,5),'EmissRates MOVES2014'!$Z$37:$AE$52,4)</f>
        <v>6.1142349458742215E-3</v>
      </c>
      <c r="O242" s="1275">
        <f>VLOOKUP(MROUND(O31,5),'EmissRates MOVES2014'!$Z$37:$AE$52,4)</f>
        <v>6.1142349458742215E-3</v>
      </c>
      <c r="P242" s="1275">
        <f>VLOOKUP(MROUND(P31,5),'EmissRates MOVES2014'!$Z$37:$AE$52,4)</f>
        <v>6.1142349458742215E-3</v>
      </c>
      <c r="Q242" s="1275">
        <f>VLOOKUP(MROUND(Q31,5),'EmissRates MOVES2014'!$Z$37:$AE$52,4)</f>
        <v>6.1142349458742215E-3</v>
      </c>
      <c r="R242" s="1275">
        <f>VLOOKUP(MROUND(R31,5),'EmissRates MOVES2014'!$Z$37:$AE$52,4)</f>
        <v>6.3392182414033346E-3</v>
      </c>
      <c r="S242" s="1275">
        <f>VLOOKUP(MROUND(S31,5),'EmissRates MOVES2014'!$Z$37:$AE$52,4)</f>
        <v>6.3392182414033346E-3</v>
      </c>
      <c r="T242" s="1275">
        <f>VLOOKUP(MROUND(T31,5),'EmissRates MOVES2014'!$Z$37:$AE$52,4)</f>
        <v>6.3392182414033346E-3</v>
      </c>
      <c r="U242" s="1275">
        <f>VLOOKUP(MROUND(U31,5),'EmissRates MOVES2014'!$Z$37:$AE$52,4)</f>
        <v>6.3392182414033346E-3</v>
      </c>
      <c r="V242" s="1275">
        <f>VLOOKUP(MROUND(V31,5),'EmissRates MOVES2014'!$Z$37:$AE$52,4)</f>
        <v>6.3392182414033346E-3</v>
      </c>
      <c r="W242" s="1275">
        <f>VLOOKUP(MROUND(W31,5),'EmissRates MOVES2014'!$Z$37:$AE$52,4)</f>
        <v>6.3392182414033346E-3</v>
      </c>
      <c r="X242" s="1275">
        <f>VLOOKUP(MROUND(X31,5),'EmissRates MOVES2014'!$Z$37:$AE$52,4)</f>
        <v>6.3392182414033346E-3</v>
      </c>
    </row>
    <row r="243" spans="1:36" s="1066" customFormat="1" ht="20.100000000000001" customHeight="1" x14ac:dyDescent="0.2">
      <c r="A243" s="1064"/>
      <c r="B243" s="1225" t="s">
        <v>288</v>
      </c>
      <c r="C243" s="1172" t="s">
        <v>60</v>
      </c>
      <c r="D243" s="1096">
        <f>VLOOKUP(MROUND(D32,5),'EmissRates MOVES2014'!$C$37:$G$52,4)</f>
        <v>1.678308142694605E-2</v>
      </c>
      <c r="E243" s="1096">
        <f>VLOOKUP(MROUND(E32,5),'EmissRates MOVES2014'!$C$37:$G$52,4)</f>
        <v>1.678308142694605E-2</v>
      </c>
      <c r="F243" s="1275">
        <f>VLOOKUP(MROUND(F32,5),'EmissRates MOVES2014'!$Z$37:$AE$52,4)</f>
        <v>5.8609770037094293E-3</v>
      </c>
      <c r="G243" s="1275">
        <f>VLOOKUP(MROUND(G32,5),'EmissRates MOVES2014'!$Z$37:$AE$52,4)</f>
        <v>5.8609770037094293E-3</v>
      </c>
      <c r="H243" s="1275">
        <f>VLOOKUP(MROUND(H32,5),'EmissRates MOVES2014'!$Z$37:$AE$52,4)</f>
        <v>5.8609770037094293E-3</v>
      </c>
      <c r="I243" s="1275">
        <f>VLOOKUP(MROUND(I32,5),'EmissRates MOVES2014'!$Z$37:$AE$52,4)</f>
        <v>6.1142349458742215E-3</v>
      </c>
      <c r="J243" s="1275">
        <f>VLOOKUP(MROUND(J32,5),'EmissRates MOVES2014'!$Z$37:$AE$52,4)</f>
        <v>6.1142349458742215E-3</v>
      </c>
      <c r="K243" s="1275">
        <f>VLOOKUP(MROUND(K32,5),'EmissRates MOVES2014'!$Z$37:$AE$52,4)</f>
        <v>6.1142349458742215E-3</v>
      </c>
      <c r="L243" s="1275">
        <f>VLOOKUP(MROUND(L32,5),'EmissRates MOVES2014'!$Z$37:$AE$52,4)</f>
        <v>6.1142349458742215E-3</v>
      </c>
      <c r="M243" s="1275">
        <f>VLOOKUP(MROUND(M32,5),'EmissRates MOVES2014'!$Z$37:$AE$52,4)</f>
        <v>6.1142349458742215E-3</v>
      </c>
      <c r="N243" s="1275">
        <f>VLOOKUP(MROUND(N32,5),'EmissRates MOVES2014'!$Z$37:$AE$52,4)</f>
        <v>6.1142349458742215E-3</v>
      </c>
      <c r="O243" s="1275">
        <f>VLOOKUP(MROUND(O32,5),'EmissRates MOVES2014'!$Z$37:$AE$52,4)</f>
        <v>6.1142349458742215E-3</v>
      </c>
      <c r="P243" s="1275">
        <f>VLOOKUP(MROUND(P32,5),'EmissRates MOVES2014'!$Z$37:$AE$52,4)</f>
        <v>6.1142349458742215E-3</v>
      </c>
      <c r="Q243" s="1275">
        <f>VLOOKUP(MROUND(Q32,5),'EmissRates MOVES2014'!$Z$37:$AE$52,4)</f>
        <v>6.1142349458742215E-3</v>
      </c>
      <c r="R243" s="1275">
        <f>VLOOKUP(MROUND(R32,5),'EmissRates MOVES2014'!$Z$37:$AE$52,4)</f>
        <v>6.3392182414033346E-3</v>
      </c>
      <c r="S243" s="1275">
        <f>VLOOKUP(MROUND(S32,5),'EmissRates MOVES2014'!$Z$37:$AE$52,4)</f>
        <v>6.3392182414033346E-3</v>
      </c>
      <c r="T243" s="1275">
        <f>VLOOKUP(MROUND(T32,5),'EmissRates MOVES2014'!$Z$37:$AE$52,4)</f>
        <v>6.3392182414033346E-3</v>
      </c>
      <c r="U243" s="1275">
        <f>VLOOKUP(MROUND(U32,5),'EmissRates MOVES2014'!$Z$37:$AE$52,4)</f>
        <v>6.3392182414033346E-3</v>
      </c>
      <c r="V243" s="1275">
        <f>VLOOKUP(MROUND(V32,5),'EmissRates MOVES2014'!$Z$37:$AE$52,4)</f>
        <v>6.3392182414033346E-3</v>
      </c>
      <c r="W243" s="1275">
        <f>VLOOKUP(MROUND(W32,5),'EmissRates MOVES2014'!$Z$37:$AE$52,4)</f>
        <v>6.3392182414033346E-3</v>
      </c>
      <c r="X243" s="1275">
        <f>VLOOKUP(MROUND(X32,5),'EmissRates MOVES2014'!$Z$37:$AE$52,4)</f>
        <v>6.3392182414033346E-3</v>
      </c>
    </row>
    <row r="244" spans="1:36" s="1066" customFormat="1" ht="20.100000000000001" customHeight="1" x14ac:dyDescent="0.2">
      <c r="A244" s="1064"/>
      <c r="B244" s="1225" t="s">
        <v>289</v>
      </c>
      <c r="C244" s="1172" t="s">
        <v>60</v>
      </c>
      <c r="D244" s="1096">
        <f>VLOOKUP(MROUND(D33,5),'EmissRates MOVES2014'!$C$37:$G$52,4)</f>
        <v>1.678308142694605E-2</v>
      </c>
      <c r="E244" s="1096">
        <f>VLOOKUP(MROUND(E33,5),'EmissRates MOVES2014'!$C$37:$G$52,4)</f>
        <v>1.678308142694605E-2</v>
      </c>
      <c r="F244" s="1275">
        <f>VLOOKUP(MROUND(F33,5),'EmissRates MOVES2014'!$Z$37:$AE$52,4)</f>
        <v>5.8609770037094293E-3</v>
      </c>
      <c r="G244" s="1275">
        <f>VLOOKUP(MROUND(G33,5),'EmissRates MOVES2014'!$Z$37:$AE$52,4)</f>
        <v>5.8609770037094293E-3</v>
      </c>
      <c r="H244" s="1275">
        <f>VLOOKUP(MROUND(H33,5),'EmissRates MOVES2014'!$Z$37:$AE$52,4)</f>
        <v>5.8609770037094293E-3</v>
      </c>
      <c r="I244" s="1275">
        <f>VLOOKUP(MROUND(I33,5),'EmissRates MOVES2014'!$Z$37:$AE$52,4)</f>
        <v>6.1142349458742215E-3</v>
      </c>
      <c r="J244" s="1275">
        <f>VLOOKUP(MROUND(J33,5),'EmissRates MOVES2014'!$Z$37:$AE$52,4)</f>
        <v>6.1142349458742215E-3</v>
      </c>
      <c r="K244" s="1275">
        <f>VLOOKUP(MROUND(K33,5),'EmissRates MOVES2014'!$Z$37:$AE$52,4)</f>
        <v>6.1142349458742215E-3</v>
      </c>
      <c r="L244" s="1275">
        <f>VLOOKUP(MROUND(L33,5),'EmissRates MOVES2014'!$Z$37:$AE$52,4)</f>
        <v>6.1142349458742215E-3</v>
      </c>
      <c r="M244" s="1275">
        <f>VLOOKUP(MROUND(M33,5),'EmissRates MOVES2014'!$Z$37:$AE$52,4)</f>
        <v>6.1142349458742215E-3</v>
      </c>
      <c r="N244" s="1275">
        <f>VLOOKUP(MROUND(N33,5),'EmissRates MOVES2014'!$Z$37:$AE$52,4)</f>
        <v>6.1142349458742215E-3</v>
      </c>
      <c r="O244" s="1275">
        <f>VLOOKUP(MROUND(O33,5),'EmissRates MOVES2014'!$Z$37:$AE$52,4)</f>
        <v>6.1142349458742215E-3</v>
      </c>
      <c r="P244" s="1275">
        <f>VLOOKUP(MROUND(P33,5),'EmissRates MOVES2014'!$Z$37:$AE$52,4)</f>
        <v>6.1142349458742215E-3</v>
      </c>
      <c r="Q244" s="1275">
        <f>VLOOKUP(MROUND(Q33,5),'EmissRates MOVES2014'!$Z$37:$AE$52,4)</f>
        <v>6.1142349458742215E-3</v>
      </c>
      <c r="R244" s="1275">
        <f>VLOOKUP(MROUND(R33,5),'EmissRates MOVES2014'!$Z$37:$AE$52,4)</f>
        <v>6.3392182414033346E-3</v>
      </c>
      <c r="S244" s="1275">
        <f>VLOOKUP(MROUND(S33,5),'EmissRates MOVES2014'!$Z$37:$AE$52,4)</f>
        <v>6.3392182414033346E-3</v>
      </c>
      <c r="T244" s="1275">
        <f>VLOOKUP(MROUND(T33,5),'EmissRates MOVES2014'!$Z$37:$AE$52,4)</f>
        <v>6.3392182414033346E-3</v>
      </c>
      <c r="U244" s="1275">
        <f>VLOOKUP(MROUND(U33,5),'EmissRates MOVES2014'!$Z$37:$AE$52,4)</f>
        <v>6.3392182414033346E-3</v>
      </c>
      <c r="V244" s="1275">
        <f>VLOOKUP(MROUND(V33,5),'EmissRates MOVES2014'!$Z$37:$AE$52,4)</f>
        <v>6.3392182414033346E-3</v>
      </c>
      <c r="W244" s="1275">
        <f>VLOOKUP(MROUND(W33,5),'EmissRates MOVES2014'!$Z$37:$AE$52,4)</f>
        <v>6.3392182414033346E-3</v>
      </c>
      <c r="X244" s="1275">
        <f>VLOOKUP(MROUND(X33,5),'EmissRates MOVES2014'!$Z$37:$AE$52,4)</f>
        <v>6.3392182414033346E-3</v>
      </c>
    </row>
    <row r="245" spans="1:36" s="1066" customFormat="1" ht="20.100000000000001" customHeight="1" thickBot="1" x14ac:dyDescent="0.25">
      <c r="A245" s="1064"/>
      <c r="B245" s="1228" t="s">
        <v>140</v>
      </c>
      <c r="C245" s="1173" t="s">
        <v>60</v>
      </c>
      <c r="D245" s="1277">
        <f>VLOOKUP(MROUND(D34,5),'EmissRates MOVES2014'!$C$37:$U$52,19)</f>
        <v>0.28246509009026283</v>
      </c>
      <c r="E245" s="1277">
        <f>VLOOKUP(MROUND(E34,5),'EmissRates MOVES2014'!$C$37:$U$52,19)</f>
        <v>0.28246509009026283</v>
      </c>
      <c r="F245" s="1278">
        <f>VLOOKUP(MROUND(F34,5),'EmissRates MOVES2014'!$Z$37:$AR$52,19)</f>
        <v>1.1106087036344329E-2</v>
      </c>
      <c r="G245" s="1278">
        <f>VLOOKUP(MROUND(G34,5),'EmissRates MOVES2014'!$Z$37:$AR$52,19)</f>
        <v>1.1106087036344329E-2</v>
      </c>
      <c r="H245" s="1278">
        <f>VLOOKUP(MROUND(H34,5),'EmissRates MOVES2014'!$Z$37:$AR$52,19)</f>
        <v>1.1106087036344329E-2</v>
      </c>
      <c r="I245" s="1278">
        <f>VLOOKUP(MROUND(I34,5),'EmissRates MOVES2014'!$Z$37:$AR$52,19)</f>
        <v>1.1106087036344329E-2</v>
      </c>
      <c r="J245" s="1278">
        <f>VLOOKUP(MROUND(J34,5),'EmissRates MOVES2014'!$Z$37:$AR$52,19)</f>
        <v>1.2484895369420943E-2</v>
      </c>
      <c r="K245" s="1278">
        <f>VLOOKUP(MROUND(K34,5),'EmissRates MOVES2014'!$Z$37:$AR$52,19)</f>
        <v>1.2484895369420943E-2</v>
      </c>
      <c r="L245" s="1278">
        <f>VLOOKUP(MROUND(L34,5),'EmissRates MOVES2014'!$Z$37:$AR$52,19)</f>
        <v>1.2484895369420943E-2</v>
      </c>
      <c r="M245" s="1278">
        <f>VLOOKUP(MROUND(M34,5),'EmissRates MOVES2014'!$Z$37:$AR$52,19)</f>
        <v>1.2484895369420943E-2</v>
      </c>
      <c r="N245" s="1278">
        <f>VLOOKUP(MROUND(N34,5),'EmissRates MOVES2014'!$Z$37:$AR$52,19)</f>
        <v>1.2484895369420943E-2</v>
      </c>
      <c r="O245" s="1278">
        <f>VLOOKUP(MROUND(O34,5),'EmissRates MOVES2014'!$Z$37:$AR$52,19)</f>
        <v>1.2484895369420943E-2</v>
      </c>
      <c r="P245" s="1278">
        <f>VLOOKUP(MROUND(P34,5),'EmissRates MOVES2014'!$Z$37:$AR$52,19)</f>
        <v>1.2484895369420943E-2</v>
      </c>
      <c r="Q245" s="1278">
        <f>VLOOKUP(MROUND(Q34,5),'EmissRates MOVES2014'!$Z$37:$AR$52,19)</f>
        <v>1.2484895369420943E-2</v>
      </c>
      <c r="R245" s="1278">
        <f>VLOOKUP(MROUND(R34,5),'EmissRates MOVES2014'!$Z$37:$AR$52,19)</f>
        <v>1.2484895369420943E-2</v>
      </c>
      <c r="S245" s="1278">
        <f>VLOOKUP(MROUND(S34,5),'EmissRates MOVES2014'!$Z$37:$AR$52,19)</f>
        <v>1.2484895369420943E-2</v>
      </c>
      <c r="T245" s="1278">
        <f>VLOOKUP(MROUND(T34,5),'EmissRates MOVES2014'!$Z$37:$AR$52,19)</f>
        <v>1.2484895369420943E-2</v>
      </c>
      <c r="U245" s="1278">
        <f>VLOOKUP(MROUND(U34,5),'EmissRates MOVES2014'!$Z$37:$AR$52,19)</f>
        <v>1.2484895369420943E-2</v>
      </c>
      <c r="V245" s="1278">
        <f>VLOOKUP(MROUND(V34,5),'EmissRates MOVES2014'!$Z$37:$AR$52,19)</f>
        <v>1.4230913575220093E-2</v>
      </c>
      <c r="W245" s="1278">
        <f>VLOOKUP(MROUND(W34,5),'EmissRates MOVES2014'!$Z$37:$AR$52,19)</f>
        <v>1.4230913575220093E-2</v>
      </c>
      <c r="X245" s="1278">
        <f>VLOOKUP(MROUND(X34,5),'EmissRates MOVES2014'!$Z$37:$AR$52,19)</f>
        <v>1.4230913575220093E-2</v>
      </c>
    </row>
    <row r="246" spans="1:36" s="1066" customFormat="1" ht="20.100000000000001" customHeight="1" x14ac:dyDescent="0.25">
      <c r="A246" s="1064"/>
      <c r="B246" s="1090"/>
    </row>
    <row r="247" spans="1:36" s="1066" customFormat="1" ht="26.25" x14ac:dyDescent="0.4">
      <c r="A247" s="1064"/>
      <c r="B247" s="1092" t="s">
        <v>328</v>
      </c>
      <c r="C247" s="1092"/>
      <c r="D247" s="1092"/>
      <c r="E247" s="1092"/>
      <c r="F247" s="1092"/>
      <c r="G247" s="1092"/>
      <c r="H247" s="1092"/>
      <c r="I247" s="1092"/>
      <c r="J247" s="1092"/>
      <c r="K247" s="1092"/>
      <c r="L247" s="1092"/>
      <c r="M247" s="1092"/>
      <c r="N247" s="1092"/>
      <c r="O247" s="1092"/>
      <c r="P247" s="1092"/>
      <c r="Q247" s="1092"/>
      <c r="R247" s="1092"/>
      <c r="S247" s="1092"/>
      <c r="T247" s="1092"/>
      <c r="U247" s="1092"/>
      <c r="V247" s="1092"/>
      <c r="W247" s="1092"/>
      <c r="X247" s="1092"/>
    </row>
    <row r="248" spans="1:36" s="1066" customFormat="1" ht="25.5" x14ac:dyDescent="0.25">
      <c r="A248" s="1064"/>
      <c r="B248" s="1101" t="s">
        <v>322</v>
      </c>
      <c r="C248" s="1101"/>
      <c r="D248" s="1101"/>
      <c r="E248" s="1101"/>
      <c r="F248" s="1101"/>
      <c r="G248" s="1101"/>
      <c r="H248" s="1101"/>
      <c r="I248" s="1101"/>
      <c r="J248" s="1101"/>
      <c r="K248" s="1101"/>
      <c r="L248" s="1101"/>
      <c r="M248" s="1101"/>
    </row>
    <row r="249" spans="1:36" s="1066" customFormat="1" ht="25.5" x14ac:dyDescent="0.25">
      <c r="A249" s="1064"/>
      <c r="B249" s="1101" t="s">
        <v>323</v>
      </c>
      <c r="C249" s="1101"/>
      <c r="D249" s="1065"/>
      <c r="E249" s="1065"/>
      <c r="F249" s="1280">
        <v>907184.7</v>
      </c>
      <c r="G249" s="1101" t="s">
        <v>312</v>
      </c>
      <c r="L249" s="1101"/>
    </row>
    <row r="250" spans="1:36" s="1066" customFormat="1" ht="25.5" x14ac:dyDescent="0.25">
      <c r="A250" s="1064"/>
      <c r="B250" s="1101"/>
      <c r="C250" s="1101"/>
      <c r="D250" s="1065"/>
      <c r="E250" s="1065"/>
      <c r="F250" s="1280"/>
      <c r="G250" s="1101"/>
      <c r="L250" s="1101"/>
    </row>
    <row r="251" spans="1:36" s="1066" customFormat="1" ht="25.5" customHeight="1" thickBot="1" x14ac:dyDescent="0.45">
      <c r="A251" s="1064"/>
      <c r="C251" s="1252"/>
      <c r="D251" s="1840" t="s">
        <v>499</v>
      </c>
      <c r="E251" s="1840"/>
      <c r="F251" s="1840"/>
      <c r="G251" s="1840"/>
      <c r="H251" s="1840"/>
      <c r="I251" s="1840"/>
      <c r="J251" s="1840"/>
      <c r="K251" s="1840"/>
      <c r="L251" s="1840"/>
      <c r="M251" s="1840"/>
      <c r="N251" s="1840"/>
      <c r="O251" s="1840"/>
      <c r="P251" s="1840"/>
      <c r="Q251" s="1840"/>
      <c r="R251" s="1840"/>
      <c r="S251" s="1840"/>
      <c r="T251" s="1840"/>
      <c r="U251" s="1840"/>
      <c r="V251" s="1840"/>
      <c r="W251" s="1840"/>
      <c r="X251" s="1840"/>
      <c r="Z251" s="1111"/>
      <c r="AA251" s="1111"/>
      <c r="AB251" s="1111"/>
      <c r="AC251" s="1111"/>
      <c r="AD251" s="1111"/>
      <c r="AE251" s="1111"/>
      <c r="AF251" s="1111"/>
      <c r="AG251" s="1064"/>
      <c r="AH251" s="1064"/>
      <c r="AI251" s="1064"/>
      <c r="AJ251" s="1064"/>
    </row>
    <row r="252" spans="1:36" s="1066" customFormat="1" ht="20.100000000000001" customHeight="1" thickBot="1" x14ac:dyDescent="0.3">
      <c r="A252" s="1064"/>
      <c r="B252" s="1090"/>
      <c r="C252" s="1197" t="s">
        <v>117</v>
      </c>
      <c r="D252" s="712">
        <v>2023</v>
      </c>
      <c r="E252" s="417">
        <f>D252+1</f>
        <v>2024</v>
      </c>
      <c r="F252" s="417">
        <f t="shared" ref="F252:X252" si="129">E252+1</f>
        <v>2025</v>
      </c>
      <c r="G252" s="417">
        <f t="shared" si="129"/>
        <v>2026</v>
      </c>
      <c r="H252" s="417">
        <f t="shared" si="129"/>
        <v>2027</v>
      </c>
      <c r="I252" s="417">
        <f t="shared" si="129"/>
        <v>2028</v>
      </c>
      <c r="J252" s="417">
        <f t="shared" si="129"/>
        <v>2029</v>
      </c>
      <c r="K252" s="417">
        <f t="shared" si="129"/>
        <v>2030</v>
      </c>
      <c r="L252" s="417">
        <f t="shared" si="129"/>
        <v>2031</v>
      </c>
      <c r="M252" s="417">
        <f t="shared" si="129"/>
        <v>2032</v>
      </c>
      <c r="N252" s="417">
        <f t="shared" si="129"/>
        <v>2033</v>
      </c>
      <c r="O252" s="417">
        <f t="shared" si="129"/>
        <v>2034</v>
      </c>
      <c r="P252" s="417">
        <f t="shared" si="129"/>
        <v>2035</v>
      </c>
      <c r="Q252" s="417">
        <f t="shared" si="129"/>
        <v>2036</v>
      </c>
      <c r="R252" s="417">
        <f t="shared" si="129"/>
        <v>2037</v>
      </c>
      <c r="S252" s="417">
        <f t="shared" si="129"/>
        <v>2038</v>
      </c>
      <c r="T252" s="417">
        <f t="shared" si="129"/>
        <v>2039</v>
      </c>
      <c r="U252" s="417">
        <f t="shared" si="129"/>
        <v>2040</v>
      </c>
      <c r="V252" s="417">
        <f t="shared" si="129"/>
        <v>2041</v>
      </c>
      <c r="W252" s="417">
        <f t="shared" si="129"/>
        <v>2042</v>
      </c>
      <c r="X252" s="713">
        <f t="shared" si="129"/>
        <v>2043</v>
      </c>
      <c r="Z252" s="1064"/>
      <c r="AA252" s="1064"/>
      <c r="AB252" s="1064"/>
      <c r="AC252" s="1064"/>
      <c r="AD252" s="1064"/>
      <c r="AE252" s="1064"/>
      <c r="AF252" s="1064"/>
      <c r="AG252" s="1064"/>
      <c r="AH252" s="1064"/>
      <c r="AI252" s="1064"/>
      <c r="AJ252" s="1064"/>
    </row>
    <row r="253" spans="1:36" s="1066" customFormat="1" ht="20.100000000000001" customHeight="1" x14ac:dyDescent="0.2">
      <c r="A253" s="1064"/>
      <c r="B253" s="1222" t="s">
        <v>287</v>
      </c>
      <c r="C253" s="1159" t="s">
        <v>60</v>
      </c>
      <c r="D253" s="1257">
        <f t="shared" ref="D253:I253" si="130">D7*D235/$F$249</f>
        <v>6.0119002813581552</v>
      </c>
      <c r="E253" s="1257">
        <f t="shared" si="130"/>
        <v>6.0624231321597195</v>
      </c>
      <c r="F253" s="1257">
        <f t="shared" si="130"/>
        <v>2.332162063040351</v>
      </c>
      <c r="G253" s="1257">
        <f t="shared" si="130"/>
        <v>2.3517611033506869</v>
      </c>
      <c r="H253" s="1257">
        <f t="shared" si="130"/>
        <v>2.3715248502168711</v>
      </c>
      <c r="I253" s="1257">
        <f t="shared" si="130"/>
        <v>2.3914546878010432</v>
      </c>
      <c r="J253" s="1257">
        <f t="shared" ref="J253:X253" si="131">J7*J235/$F$249</f>
        <v>2.5157921286040317</v>
      </c>
      <c r="K253" s="1257">
        <f t="shared" si="131"/>
        <v>2.5369343605793921</v>
      </c>
      <c r="L253" s="1257">
        <f t="shared" si="131"/>
        <v>2.5582542677958102</v>
      </c>
      <c r="M253" s="1257">
        <f t="shared" si="131"/>
        <v>2.5797533434017534</v>
      </c>
      <c r="N253" s="1257">
        <f t="shared" si="131"/>
        <v>2.6014330930938216</v>
      </c>
      <c r="O253" s="1257">
        <f t="shared" si="131"/>
        <v>2.9491361207221161</v>
      </c>
      <c r="P253" s="1257">
        <f t="shared" si="131"/>
        <v>2.9739200920535707</v>
      </c>
      <c r="Q253" s="1257">
        <f t="shared" si="131"/>
        <v>2.998912343101463</v>
      </c>
      <c r="R253" s="1257">
        <f t="shared" si="131"/>
        <v>3.0241146242083703</v>
      </c>
      <c r="S253" s="1257">
        <f t="shared" si="131"/>
        <v>3.049528700426412</v>
      </c>
      <c r="T253" s="1257">
        <f t="shared" si="131"/>
        <v>3.075156351640866</v>
      </c>
      <c r="U253" s="1257">
        <f t="shared" si="131"/>
        <v>3.1009993726948237</v>
      </c>
      <c r="V253" s="1257">
        <f t="shared" si="131"/>
        <v>3.7587645216884211</v>
      </c>
      <c r="W253" s="1257">
        <f t="shared" si="131"/>
        <v>3.790352453996003</v>
      </c>
      <c r="X253" s="1258">
        <f t="shared" si="131"/>
        <v>3.8222058451961844</v>
      </c>
      <c r="Z253" s="1064"/>
      <c r="AA253" s="1064"/>
      <c r="AB253" s="1064"/>
      <c r="AC253" s="1064"/>
      <c r="AD253" s="1064"/>
      <c r="AE253" s="1064"/>
      <c r="AF253" s="1064"/>
      <c r="AG253" s="1064"/>
      <c r="AH253" s="1064"/>
      <c r="AI253" s="1064"/>
      <c r="AJ253" s="1064"/>
    </row>
    <row r="254" spans="1:36" s="1066" customFormat="1" ht="20.100000000000001" customHeight="1" x14ac:dyDescent="0.2">
      <c r="A254" s="1064"/>
      <c r="B254" s="1225" t="s">
        <v>288</v>
      </c>
      <c r="C254" s="1165" t="s">
        <v>60</v>
      </c>
      <c r="D254" s="1253">
        <f t="shared" ref="D254:I254" si="132">D8*D236/$F$249</f>
        <v>3.2570425884461622</v>
      </c>
      <c r="E254" s="1253">
        <f t="shared" si="132"/>
        <v>3.2595983650354978</v>
      </c>
      <c r="F254" s="1253">
        <f t="shared" si="132"/>
        <v>1.2444651810870284</v>
      </c>
      <c r="G254" s="1253">
        <f t="shared" si="132"/>
        <v>1.2454417034657497</v>
      </c>
      <c r="H254" s="1253">
        <f t="shared" si="132"/>
        <v>1.2464189921141671</v>
      </c>
      <c r="I254" s="1253">
        <f t="shared" si="132"/>
        <v>1.2473970476335665</v>
      </c>
      <c r="J254" s="1253">
        <f t="shared" ref="J254:X254" si="133">J8*J236/$F$249</f>
        <v>1.3023373219257572</v>
      </c>
      <c r="K254" s="1253">
        <f t="shared" si="133"/>
        <v>1.3033592561339873</v>
      </c>
      <c r="L254" s="1253">
        <f t="shared" si="133"/>
        <v>1.3043819922462316</v>
      </c>
      <c r="M254" s="1253">
        <f t="shared" si="133"/>
        <v>1.3054055308917376</v>
      </c>
      <c r="N254" s="1253">
        <f t="shared" si="133"/>
        <v>1.3064298727002481</v>
      </c>
      <c r="O254" s="1253">
        <f t="shared" si="133"/>
        <v>1.4698548081410199</v>
      </c>
      <c r="P254" s="1253">
        <f t="shared" si="133"/>
        <v>1.4710081920487694</v>
      </c>
      <c r="Q254" s="1253">
        <f t="shared" si="133"/>
        <v>1.4721624810081146</v>
      </c>
      <c r="R254" s="1253">
        <f t="shared" si="133"/>
        <v>1.4733176757292417</v>
      </c>
      <c r="S254" s="1253">
        <f t="shared" si="133"/>
        <v>1.4744737769228951</v>
      </c>
      <c r="T254" s="1253">
        <f t="shared" si="133"/>
        <v>1.4756307853003776</v>
      </c>
      <c r="U254" s="1253">
        <f t="shared" si="133"/>
        <v>1.4767887015735488</v>
      </c>
      <c r="V254" s="1253">
        <f t="shared" si="133"/>
        <v>1.7765113189421355</v>
      </c>
      <c r="W254" s="1253">
        <f t="shared" si="133"/>
        <v>1.7779053338855535</v>
      </c>
      <c r="X254" s="1254">
        <f t="shared" si="133"/>
        <v>1.7793004427019128</v>
      </c>
      <c r="Z254" s="1064"/>
      <c r="AA254" s="1064"/>
      <c r="AB254" s="1064"/>
      <c r="AC254" s="1064"/>
      <c r="AD254" s="1064"/>
      <c r="AE254" s="1064"/>
      <c r="AF254" s="1064"/>
      <c r="AG254" s="1064"/>
      <c r="AH254" s="1064"/>
      <c r="AI254" s="1064"/>
      <c r="AJ254" s="1064"/>
    </row>
    <row r="255" spans="1:36" s="1066" customFormat="1" ht="20.100000000000001" customHeight="1" x14ac:dyDescent="0.2">
      <c r="A255" s="1064"/>
      <c r="B255" s="1225" t="s">
        <v>289</v>
      </c>
      <c r="C255" s="1165" t="s">
        <v>60</v>
      </c>
      <c r="D255" s="1253">
        <f t="shared" ref="D255:I255" si="134">D9*D237/$F$249</f>
        <v>1.9786387665484932</v>
      </c>
      <c r="E255" s="1253">
        <f t="shared" si="134"/>
        <v>1.9950684762655195</v>
      </c>
      <c r="F255" s="1253">
        <f t="shared" si="134"/>
        <v>0.76740938117661817</v>
      </c>
      <c r="G255" s="1253">
        <f t="shared" si="134"/>
        <v>0.77378159705554195</v>
      </c>
      <c r="H255" s="1253">
        <f t="shared" si="134"/>
        <v>0.78020672489541354</v>
      </c>
      <c r="I255" s="1253">
        <f t="shared" si="134"/>
        <v>0.7866852040529122</v>
      </c>
      <c r="J255" s="1253">
        <f t="shared" ref="J255:X255" si="135">J9*J237/$F$249</f>
        <v>0.82750455988641614</v>
      </c>
      <c r="K255" s="1253">
        <f t="shared" si="135"/>
        <v>0.83437577859409628</v>
      </c>
      <c r="L255" s="1253">
        <f t="shared" si="135"/>
        <v>0.84130405275357412</v>
      </c>
      <c r="M255" s="1253">
        <f t="shared" si="135"/>
        <v>0.84828985612717833</v>
      </c>
      <c r="N255" s="1253">
        <f t="shared" si="135"/>
        <v>0.85533366641114406</v>
      </c>
      <c r="O255" s="1253">
        <f t="shared" si="135"/>
        <v>0.96955966554752504</v>
      </c>
      <c r="P255" s="1253">
        <f t="shared" si="135"/>
        <v>0.97761044476381942</v>
      </c>
      <c r="Q255" s="1253">
        <f t="shared" si="135"/>
        <v>0.9857280739619072</v>
      </c>
      <c r="R255" s="1253">
        <f t="shared" si="135"/>
        <v>0.99391310823340695</v>
      </c>
      <c r="S255" s="1253">
        <f t="shared" si="135"/>
        <v>1.0021661072791637</v>
      </c>
      <c r="T255" s="1253">
        <f t="shared" si="135"/>
        <v>1.0104876354475221</v>
      </c>
      <c r="U255" s="1253">
        <f t="shared" si="135"/>
        <v>1.0188782617729162</v>
      </c>
      <c r="V255" s="1253">
        <f t="shared" si="135"/>
        <v>1.2348737337311384</v>
      </c>
      <c r="W255" s="1253">
        <f t="shared" si="135"/>
        <v>1.2451275594043174</v>
      </c>
      <c r="X255" s="1254">
        <f t="shared" si="135"/>
        <v>1.2554665281476456</v>
      </c>
      <c r="Z255" s="1064"/>
      <c r="AA255" s="1064"/>
      <c r="AB255" s="1064"/>
      <c r="AC255" s="1064"/>
      <c r="AD255" s="1064"/>
      <c r="AE255" s="1064"/>
      <c r="AF255" s="1064"/>
      <c r="AG255" s="1064"/>
      <c r="AH255" s="1064"/>
      <c r="AI255" s="1064"/>
      <c r="AJ255" s="1064"/>
    </row>
    <row r="256" spans="1:36" s="1066" customFormat="1" ht="20.100000000000001" customHeight="1" thickBot="1" x14ac:dyDescent="0.25">
      <c r="A256" s="1064"/>
      <c r="B256" s="1228" t="s">
        <v>140</v>
      </c>
      <c r="C256" s="1167" t="s">
        <v>60</v>
      </c>
      <c r="D256" s="1255">
        <f t="shared" ref="D256:I256" si="136">D10*D238/$F$249</f>
        <v>15.878065141815748</v>
      </c>
      <c r="E256" s="1255">
        <f t="shared" si="136"/>
        <v>17.368624129988035</v>
      </c>
      <c r="F256" s="1255">
        <f t="shared" si="136"/>
        <v>0.75512170331598005</v>
      </c>
      <c r="G256" s="1255">
        <f t="shared" si="136"/>
        <v>0.76006966291840961</v>
      </c>
      <c r="H256" s="1255">
        <f t="shared" si="136"/>
        <v>0.76505004418759825</v>
      </c>
      <c r="I256" s="1255">
        <f t="shared" si="136"/>
        <v>0.7700630595675747</v>
      </c>
      <c r="J256" s="1255">
        <f t="shared" ref="J256:X256" si="137">J10*J238/$F$249</f>
        <v>0.96969530695973061</v>
      </c>
      <c r="K256" s="1255">
        <f t="shared" si="137"/>
        <v>0.97604926710209261</v>
      </c>
      <c r="L256" s="1255">
        <f t="shared" si="137"/>
        <v>0.98244486177563262</v>
      </c>
      <c r="M256" s="1255">
        <f t="shared" si="137"/>
        <v>0.98888236379197503</v>
      </c>
      <c r="N256" s="1255">
        <f t="shared" si="137"/>
        <v>0.99536204775035064</v>
      </c>
      <c r="O256" s="1255">
        <f t="shared" si="137"/>
        <v>1.1465110990668999</v>
      </c>
      <c r="P256" s="1255">
        <f t="shared" si="137"/>
        <v>1.1540236504569716</v>
      </c>
      <c r="Q256" s="1255">
        <f t="shared" si="137"/>
        <v>1.1615854280851803</v>
      </c>
      <c r="R256" s="1255">
        <f t="shared" si="137"/>
        <v>1.1691967545080564</v>
      </c>
      <c r="S256" s="1255">
        <f t="shared" si="137"/>
        <v>1.176857954395695</v>
      </c>
      <c r="T256" s="1255">
        <f t="shared" si="137"/>
        <v>1.1845693545456004</v>
      </c>
      <c r="U256" s="1255">
        <f t="shared" si="137"/>
        <v>1.3323394473839727</v>
      </c>
      <c r="V256" s="1255">
        <f t="shared" si="137"/>
        <v>1.3410696450904218</v>
      </c>
      <c r="W256" s="1255">
        <f t="shared" si="137"/>
        <v>1.34985704770223</v>
      </c>
      <c r="X256" s="1256">
        <f t="shared" si="137"/>
        <v>1.3587020300564066</v>
      </c>
      <c r="Z256" s="1064"/>
      <c r="AA256" s="1064"/>
      <c r="AB256" s="1064"/>
      <c r="AC256" s="1064"/>
      <c r="AD256" s="1064"/>
      <c r="AE256" s="1064"/>
      <c r="AF256" s="1064"/>
      <c r="AG256" s="1064"/>
      <c r="AH256" s="1064"/>
      <c r="AI256" s="1064"/>
      <c r="AJ256" s="1064"/>
    </row>
    <row r="257" spans="1:36" s="1066" customFormat="1" ht="20.100000000000001" customHeight="1" x14ac:dyDescent="0.2">
      <c r="A257" s="1064"/>
      <c r="B257" s="1231"/>
      <c r="C257" s="1095"/>
      <c r="D257" s="1133"/>
      <c r="E257" s="1133"/>
      <c r="F257" s="1133"/>
      <c r="G257" s="1133"/>
      <c r="H257" s="1133"/>
      <c r="I257" s="1133"/>
      <c r="J257" s="1133"/>
      <c r="K257" s="1133"/>
      <c r="L257" s="1133"/>
      <c r="M257" s="1133"/>
      <c r="N257" s="1133"/>
      <c r="O257" s="1133"/>
      <c r="P257" s="1133"/>
      <c r="Q257" s="1133"/>
      <c r="R257" s="1133"/>
      <c r="S257" s="1133"/>
      <c r="T257" s="1133"/>
      <c r="U257" s="1133"/>
      <c r="V257" s="1133"/>
      <c r="W257" s="1133"/>
      <c r="X257" s="1133"/>
      <c r="Z257" s="1064"/>
      <c r="AA257" s="1064"/>
      <c r="AB257" s="1064"/>
      <c r="AC257" s="1064"/>
      <c r="AD257" s="1064"/>
      <c r="AE257" s="1064"/>
      <c r="AF257" s="1064"/>
      <c r="AG257" s="1064"/>
      <c r="AH257" s="1064"/>
      <c r="AI257" s="1064"/>
      <c r="AJ257" s="1064"/>
    </row>
    <row r="258" spans="1:36" s="1066" customFormat="1" ht="24.75" customHeight="1" thickBot="1" x14ac:dyDescent="0.45">
      <c r="A258" s="1064"/>
      <c r="C258" s="1252"/>
      <c r="D258" s="1840" t="s">
        <v>500</v>
      </c>
      <c r="E258" s="1840"/>
      <c r="F258" s="1840"/>
      <c r="G258" s="1840"/>
      <c r="H258" s="1840"/>
      <c r="I258" s="1840"/>
      <c r="J258" s="1840"/>
      <c r="K258" s="1840"/>
      <c r="L258" s="1840"/>
      <c r="M258" s="1840"/>
      <c r="N258" s="1840"/>
      <c r="O258" s="1840"/>
      <c r="P258" s="1840"/>
      <c r="Q258" s="1840"/>
      <c r="R258" s="1840"/>
      <c r="S258" s="1840"/>
      <c r="T258" s="1840"/>
      <c r="U258" s="1840"/>
      <c r="V258" s="1840"/>
      <c r="W258" s="1840"/>
      <c r="X258" s="1840"/>
      <c r="Z258" s="1111"/>
      <c r="AA258" s="1111"/>
      <c r="AB258" s="1111"/>
      <c r="AC258" s="1111"/>
      <c r="AD258" s="1111"/>
      <c r="AE258" s="1111"/>
      <c r="AF258" s="1111"/>
      <c r="AG258" s="1064"/>
      <c r="AH258" s="1064"/>
      <c r="AI258" s="1064"/>
      <c r="AJ258" s="1064"/>
    </row>
    <row r="259" spans="1:36" s="1066" customFormat="1" ht="20.100000000000001" customHeight="1" thickBot="1" x14ac:dyDescent="0.3">
      <c r="A259" s="1064"/>
      <c r="B259" s="1090"/>
      <c r="C259" s="1193" t="s">
        <v>117</v>
      </c>
      <c r="D259" s="712">
        <v>2023</v>
      </c>
      <c r="E259" s="417">
        <f>D259+1</f>
        <v>2024</v>
      </c>
      <c r="F259" s="417">
        <f t="shared" ref="F259:X259" si="138">E259+1</f>
        <v>2025</v>
      </c>
      <c r="G259" s="417">
        <f t="shared" si="138"/>
        <v>2026</v>
      </c>
      <c r="H259" s="417">
        <f t="shared" si="138"/>
        <v>2027</v>
      </c>
      <c r="I259" s="417">
        <f t="shared" si="138"/>
        <v>2028</v>
      </c>
      <c r="J259" s="417">
        <f t="shared" si="138"/>
        <v>2029</v>
      </c>
      <c r="K259" s="417">
        <f t="shared" si="138"/>
        <v>2030</v>
      </c>
      <c r="L259" s="417">
        <f t="shared" si="138"/>
        <v>2031</v>
      </c>
      <c r="M259" s="417">
        <f t="shared" si="138"/>
        <v>2032</v>
      </c>
      <c r="N259" s="417">
        <f t="shared" si="138"/>
        <v>2033</v>
      </c>
      <c r="O259" s="417">
        <f t="shared" si="138"/>
        <v>2034</v>
      </c>
      <c r="P259" s="417">
        <f t="shared" si="138"/>
        <v>2035</v>
      </c>
      <c r="Q259" s="417">
        <f t="shared" si="138"/>
        <v>2036</v>
      </c>
      <c r="R259" s="417">
        <f t="shared" si="138"/>
        <v>2037</v>
      </c>
      <c r="S259" s="417">
        <f t="shared" si="138"/>
        <v>2038</v>
      </c>
      <c r="T259" s="417">
        <f t="shared" si="138"/>
        <v>2039</v>
      </c>
      <c r="U259" s="417">
        <f t="shared" si="138"/>
        <v>2040</v>
      </c>
      <c r="V259" s="417">
        <f t="shared" si="138"/>
        <v>2041</v>
      </c>
      <c r="W259" s="417">
        <f t="shared" si="138"/>
        <v>2042</v>
      </c>
      <c r="X259" s="713">
        <f t="shared" si="138"/>
        <v>2043</v>
      </c>
      <c r="Z259" s="1064"/>
      <c r="AA259" s="1064"/>
      <c r="AB259" s="1064"/>
      <c r="AC259" s="1064"/>
      <c r="AD259" s="1064"/>
      <c r="AE259" s="1064"/>
      <c r="AF259" s="1064"/>
      <c r="AG259" s="1064"/>
      <c r="AH259" s="1064"/>
      <c r="AI259" s="1064"/>
      <c r="AJ259" s="1064"/>
    </row>
    <row r="260" spans="1:36" s="1066" customFormat="1" ht="20.100000000000001" customHeight="1" x14ac:dyDescent="0.2">
      <c r="A260" s="1064"/>
      <c r="B260" s="1232" t="s">
        <v>287</v>
      </c>
      <c r="C260" s="1159" t="s">
        <v>60</v>
      </c>
      <c r="D260" s="1257">
        <f t="shared" ref="D260:I260" si="139">D16*D242/$F$249</f>
        <v>7.019871854564129</v>
      </c>
      <c r="E260" s="1257">
        <f t="shared" si="139"/>
        <v>7.0932851469465303</v>
      </c>
      <c r="F260" s="1257">
        <f t="shared" si="139"/>
        <v>2.5030179766125298</v>
      </c>
      <c r="G260" s="1257">
        <f t="shared" si="139"/>
        <v>2.5291943505353665</v>
      </c>
      <c r="H260" s="1257">
        <f t="shared" si="139"/>
        <v>2.555644475009796</v>
      </c>
      <c r="I260" s="1257">
        <f t="shared" si="139"/>
        <v>2.693957731472191</v>
      </c>
      <c r="J260" s="1257">
        <f t="shared" ref="J260:X260" si="140">J16*J242/$F$249</f>
        <v>2.7221309390041504</v>
      </c>
      <c r="K260" s="1257">
        <f t="shared" si="140"/>
        <v>2.7505987798235467</v>
      </c>
      <c r="L260" s="1257">
        <f t="shared" si="140"/>
        <v>2.779364335183161</v>
      </c>
      <c r="M260" s="1257">
        <f t="shared" si="140"/>
        <v>2.8084307185592845</v>
      </c>
      <c r="N260" s="1257">
        <f t="shared" si="140"/>
        <v>2.8378010759887102</v>
      </c>
      <c r="O260" s="1257">
        <f t="shared" si="140"/>
        <v>2.8674785864092458</v>
      </c>
      <c r="P260" s="1257">
        <f t="shared" si="140"/>
        <v>2.8974664620037935</v>
      </c>
      <c r="Q260" s="1257">
        <f t="shared" si="140"/>
        <v>2.927767948548023</v>
      </c>
      <c r="R260" s="1257">
        <f t="shared" si="140"/>
        <v>3.0672449991542123</v>
      </c>
      <c r="S260" s="1257">
        <f t="shared" si="140"/>
        <v>3.0993220168828142</v>
      </c>
      <c r="T260" s="1257">
        <f t="shared" si="140"/>
        <v>3.1317344936525568</v>
      </c>
      <c r="U260" s="1257">
        <f t="shared" si="140"/>
        <v>3.1644859376688874</v>
      </c>
      <c r="V260" s="1257">
        <f t="shared" si="140"/>
        <v>3.1975798938257989</v>
      </c>
      <c r="W260" s="1257">
        <f t="shared" si="140"/>
        <v>3.2310199440895229</v>
      </c>
      <c r="X260" s="1258">
        <f t="shared" si="140"/>
        <v>3.2648097078862213</v>
      </c>
      <c r="Z260" s="1064"/>
      <c r="AA260" s="1064"/>
      <c r="AB260" s="1064"/>
      <c r="AC260" s="1064"/>
      <c r="AD260" s="1064"/>
      <c r="AE260" s="1064"/>
      <c r="AF260" s="1064"/>
      <c r="AG260" s="1064"/>
      <c r="AH260" s="1064"/>
      <c r="AI260" s="1064"/>
      <c r="AJ260" s="1064"/>
    </row>
    <row r="261" spans="1:36" s="1066" customFormat="1" ht="20.100000000000001" customHeight="1" x14ac:dyDescent="0.2">
      <c r="A261" s="1064"/>
      <c r="B261" s="1233" t="s">
        <v>288</v>
      </c>
      <c r="C261" s="1165" t="s">
        <v>60</v>
      </c>
      <c r="D261" s="1253">
        <f t="shared" ref="D261:I261" si="141">D17*D243/$F$249</f>
        <v>3.8106928074890769</v>
      </c>
      <c r="E261" s="1253">
        <f t="shared" si="141"/>
        <v>3.8211050830691558</v>
      </c>
      <c r="F261" s="1253">
        <f t="shared" si="141"/>
        <v>1.3380499864020337</v>
      </c>
      <c r="G261" s="1253">
        <f t="shared" si="141"/>
        <v>1.3417060526089339</v>
      </c>
      <c r="H261" s="1253">
        <f t="shared" si="141"/>
        <v>1.3453721085921844</v>
      </c>
      <c r="I261" s="1253">
        <f t="shared" si="141"/>
        <v>1.4073417334137184</v>
      </c>
      <c r="J261" s="1253">
        <f t="shared" ref="J261:X261" si="142">J17*J243/$F$249</f>
        <v>1.4111871312728299</v>
      </c>
      <c r="K261" s="1253">
        <f t="shared" si="142"/>
        <v>1.4150430362350448</v>
      </c>
      <c r="L261" s="1253">
        <f t="shared" si="142"/>
        <v>1.4189094770098023</v>
      </c>
      <c r="M261" s="1253">
        <f t="shared" si="142"/>
        <v>1.4227864823849865</v>
      </c>
      <c r="N261" s="1253">
        <f t="shared" si="142"/>
        <v>1.4266740812271417</v>
      </c>
      <c r="O261" s="1253">
        <f t="shared" si="142"/>
        <v>1.4305723024816857</v>
      </c>
      <c r="P261" s="1253">
        <f t="shared" si="142"/>
        <v>1.4344811751731279</v>
      </c>
      <c r="Q261" s="1253">
        <f t="shared" si="142"/>
        <v>1.4384007284052811</v>
      </c>
      <c r="R261" s="1253">
        <f t="shared" si="142"/>
        <v>1.4954039240428241</v>
      </c>
      <c r="S261" s="1253">
        <f t="shared" si="142"/>
        <v>1.4994899416116148</v>
      </c>
      <c r="T261" s="1253">
        <f t="shared" si="142"/>
        <v>1.5035871237489238</v>
      </c>
      <c r="U261" s="1253">
        <f t="shared" si="142"/>
        <v>1.5076955009606379</v>
      </c>
      <c r="V261" s="1253">
        <f t="shared" si="142"/>
        <v>1.5118151038359986</v>
      </c>
      <c r="W261" s="1253">
        <f t="shared" si="142"/>
        <v>1.5159459630478274</v>
      </c>
      <c r="X261" s="1254">
        <f t="shared" si="142"/>
        <v>1.520088109352757</v>
      </c>
    </row>
    <row r="262" spans="1:36" s="1066" customFormat="1" ht="20.100000000000001" customHeight="1" x14ac:dyDescent="0.2">
      <c r="A262" s="1064"/>
      <c r="B262" s="1233" t="s">
        <v>289</v>
      </c>
      <c r="C262" s="1165" t="s">
        <v>60</v>
      </c>
      <c r="D262" s="1253">
        <f t="shared" ref="D262:I262" si="143">D18*D244/$F$249</f>
        <v>2.3105674742922875</v>
      </c>
      <c r="E262" s="1253">
        <f t="shared" si="143"/>
        <v>2.3345042914658474</v>
      </c>
      <c r="F262" s="1253">
        <f t="shared" si="143"/>
        <v>0.82369990035529395</v>
      </c>
      <c r="G262" s="1253">
        <f t="shared" si="143"/>
        <v>0.83223319537483154</v>
      </c>
      <c r="H262" s="1253">
        <f t="shared" si="143"/>
        <v>0.84085489288641602</v>
      </c>
      <c r="I262" s="1253">
        <f t="shared" si="143"/>
        <v>0.88627639463493335</v>
      </c>
      <c r="J262" s="1253">
        <f t="shared" ref="J262:X262" si="144">J18*J244/$F$249</f>
        <v>0.89545796421022383</v>
      </c>
      <c r="K262" s="1253">
        <f t="shared" si="144"/>
        <v>0.90473465221626115</v>
      </c>
      <c r="L262" s="1253">
        <f t="shared" si="144"/>
        <v>0.9141074440527418</v>
      </c>
      <c r="M262" s="1253">
        <f t="shared" si="144"/>
        <v>0.92357733532782027</v>
      </c>
      <c r="N262" s="1253">
        <f t="shared" si="144"/>
        <v>0.93314533196386584</v>
      </c>
      <c r="O262" s="1253">
        <f t="shared" si="144"/>
        <v>0.94281245030431626</v>
      </c>
      <c r="P262" s="1253">
        <f t="shared" si="144"/>
        <v>0.95257971722163604</v>
      </c>
      <c r="Q262" s="1253">
        <f t="shared" si="144"/>
        <v>0.96244817022639384</v>
      </c>
      <c r="R262" s="1253">
        <f t="shared" si="144"/>
        <v>1.0082006031513899</v>
      </c>
      <c r="S262" s="1253">
        <f t="shared" si="144"/>
        <v>1.0186452726018238</v>
      </c>
      <c r="T262" s="1253">
        <f t="shared" si="144"/>
        <v>1.0291981458358972</v>
      </c>
      <c r="U262" s="1253">
        <f t="shared" si="144"/>
        <v>1.0398603438138143</v>
      </c>
      <c r="V262" s="1253">
        <f t="shared" si="144"/>
        <v>1.0506329991086052</v>
      </c>
      <c r="W262" s="1253">
        <f t="shared" si="144"/>
        <v>1.0615172560264321</v>
      </c>
      <c r="X262" s="1254">
        <f t="shared" si="144"/>
        <v>1.072514270728141</v>
      </c>
    </row>
    <row r="263" spans="1:36" s="1066" customFormat="1" ht="20.100000000000001" customHeight="1" thickBot="1" x14ac:dyDescent="0.25">
      <c r="A263" s="1064"/>
      <c r="B263" s="1234" t="s">
        <v>140</v>
      </c>
      <c r="C263" s="1167" t="s">
        <v>60</v>
      </c>
      <c r="D263" s="1255">
        <f t="shared" ref="D263:I263" si="145">D19*D245/$F$249</f>
        <v>13.487347597517477</v>
      </c>
      <c r="E263" s="1255">
        <f t="shared" si="145"/>
        <v>13.790444417451056</v>
      </c>
      <c r="F263" s="1255">
        <f t="shared" si="145"/>
        <v>0.55440388599274359</v>
      </c>
      <c r="G263" s="1255">
        <f t="shared" si="145"/>
        <v>0.56686282601695925</v>
      </c>
      <c r="H263" s="1255">
        <f t="shared" si="145"/>
        <v>0.5796017517888381</v>
      </c>
      <c r="I263" s="1255">
        <f t="shared" si="145"/>
        <v>0.59262695533793808</v>
      </c>
      <c r="J263" s="1255">
        <f t="shared" ref="J263:X263" si="146">J19*J245/$F$249</f>
        <v>0.68117225067536136</v>
      </c>
      <c r="K263" s="1255">
        <f t="shared" si="146"/>
        <v>0.69648001534250059</v>
      </c>
      <c r="L263" s="1255">
        <f t="shared" si="146"/>
        <v>0.71213178647624542</v>
      </c>
      <c r="M263" s="1255">
        <f t="shared" si="146"/>
        <v>0.72813529482315709</v>
      </c>
      <c r="N263" s="1255">
        <f t="shared" si="146"/>
        <v>0.74449844486037564</v>
      </c>
      <c r="O263" s="1255">
        <f t="shared" si="146"/>
        <v>0.76122931869981103</v>
      </c>
      <c r="P263" s="1255">
        <f t="shared" si="146"/>
        <v>0.77833618008007155</v>
      </c>
      <c r="Q263" s="1255">
        <f t="shared" si="146"/>
        <v>0.79582747844810231</v>
      </c>
      <c r="R263" s="1255">
        <f t="shared" si="146"/>
        <v>0.81371185313254935</v>
      </c>
      <c r="S263" s="1255">
        <f t="shared" si="146"/>
        <v>0.8319981376109099</v>
      </c>
      <c r="T263" s="1255">
        <f t="shared" si="146"/>
        <v>0.85069536387257649</v>
      </c>
      <c r="U263" s="1255">
        <f t="shared" si="146"/>
        <v>0.86981276687993103</v>
      </c>
      <c r="V263" s="1255">
        <f t="shared" si="146"/>
        <v>1.0137371537273547</v>
      </c>
      <c r="W263" s="1255">
        <f t="shared" si="146"/>
        <v>1.036518542382292</v>
      </c>
      <c r="X263" s="1256">
        <f t="shared" si="146"/>
        <v>1.0598118898493725</v>
      </c>
    </row>
    <row r="264" spans="1:36" s="1066" customFormat="1" ht="14.25" x14ac:dyDescent="0.25">
      <c r="A264" s="1064"/>
    </row>
    <row r="265" spans="1:36" s="1066" customFormat="1" ht="25.5" customHeight="1" thickBot="1" x14ac:dyDescent="0.45">
      <c r="A265" s="1064"/>
      <c r="C265" s="1252"/>
      <c r="D265" s="1840" t="s">
        <v>329</v>
      </c>
      <c r="E265" s="1840"/>
      <c r="F265" s="1840"/>
      <c r="G265" s="1840"/>
      <c r="H265" s="1840"/>
      <c r="I265" s="1840"/>
      <c r="J265" s="1840"/>
      <c r="K265" s="1840"/>
      <c r="L265" s="1840"/>
      <c r="M265" s="1840"/>
      <c r="N265" s="1840"/>
      <c r="O265" s="1840"/>
      <c r="P265" s="1840"/>
      <c r="Q265" s="1840"/>
      <c r="R265" s="1840"/>
      <c r="S265" s="1840"/>
      <c r="T265" s="1840"/>
      <c r="U265" s="1840"/>
      <c r="V265" s="1840"/>
      <c r="W265" s="1840"/>
      <c r="X265" s="1840"/>
    </row>
    <row r="266" spans="1:36" s="1066" customFormat="1" ht="30.75" customHeight="1" thickBot="1" x14ac:dyDescent="0.3">
      <c r="A266" s="1064"/>
      <c r="B266" s="1090"/>
      <c r="C266" s="1197" t="s">
        <v>117</v>
      </c>
      <c r="D266" s="712">
        <v>2023</v>
      </c>
      <c r="E266" s="417">
        <f>D266+1</f>
        <v>2024</v>
      </c>
      <c r="F266" s="417">
        <f t="shared" ref="F266:X266" si="147">E266+1</f>
        <v>2025</v>
      </c>
      <c r="G266" s="417">
        <f t="shared" si="147"/>
        <v>2026</v>
      </c>
      <c r="H266" s="417">
        <f t="shared" si="147"/>
        <v>2027</v>
      </c>
      <c r="I266" s="417">
        <f t="shared" si="147"/>
        <v>2028</v>
      </c>
      <c r="J266" s="417">
        <f t="shared" si="147"/>
        <v>2029</v>
      </c>
      <c r="K266" s="417">
        <f t="shared" si="147"/>
        <v>2030</v>
      </c>
      <c r="L266" s="417">
        <f t="shared" si="147"/>
        <v>2031</v>
      </c>
      <c r="M266" s="417">
        <f t="shared" si="147"/>
        <v>2032</v>
      </c>
      <c r="N266" s="417">
        <f t="shared" si="147"/>
        <v>2033</v>
      </c>
      <c r="O266" s="417">
        <f t="shared" si="147"/>
        <v>2034</v>
      </c>
      <c r="P266" s="417">
        <f t="shared" si="147"/>
        <v>2035</v>
      </c>
      <c r="Q266" s="417">
        <f t="shared" si="147"/>
        <v>2036</v>
      </c>
      <c r="R266" s="417">
        <f t="shared" si="147"/>
        <v>2037</v>
      </c>
      <c r="S266" s="417">
        <f t="shared" si="147"/>
        <v>2038</v>
      </c>
      <c r="T266" s="417">
        <f t="shared" si="147"/>
        <v>2039</v>
      </c>
      <c r="U266" s="417">
        <f t="shared" si="147"/>
        <v>2040</v>
      </c>
      <c r="V266" s="417">
        <f t="shared" si="147"/>
        <v>2041</v>
      </c>
      <c r="W266" s="417">
        <f t="shared" si="147"/>
        <v>2042</v>
      </c>
      <c r="X266" s="713">
        <f t="shared" si="147"/>
        <v>2043</v>
      </c>
    </row>
    <row r="267" spans="1:36" s="1066" customFormat="1" ht="20.100000000000001" customHeight="1" x14ac:dyDescent="0.2">
      <c r="A267" s="1064"/>
      <c r="B267" s="1232" t="s">
        <v>287</v>
      </c>
      <c r="C267" s="1171" t="s">
        <v>60</v>
      </c>
      <c r="D267" s="1237">
        <f t="shared" ref="D267:I267" si="148">D260-D253</f>
        <v>1.0079715732059737</v>
      </c>
      <c r="E267" s="1237">
        <f t="shared" si="148"/>
        <v>1.0308620147868108</v>
      </c>
      <c r="F267" s="1237">
        <f t="shared" si="148"/>
        <v>0.17085591357217877</v>
      </c>
      <c r="G267" s="1237">
        <f t="shared" si="148"/>
        <v>0.17743324718467957</v>
      </c>
      <c r="H267" s="1237">
        <f t="shared" si="148"/>
        <v>0.18411962479292487</v>
      </c>
      <c r="I267" s="1237">
        <f t="shared" si="148"/>
        <v>0.30250304367114778</v>
      </c>
      <c r="J267" s="1237">
        <f t="shared" ref="J267:X267" si="149">J260-J253</f>
        <v>0.2063388104001187</v>
      </c>
      <c r="K267" s="1237">
        <f t="shared" si="149"/>
        <v>0.21366441924415458</v>
      </c>
      <c r="L267" s="1237">
        <f t="shared" si="149"/>
        <v>0.22111006738735073</v>
      </c>
      <c r="M267" s="1237">
        <f t="shared" si="149"/>
        <v>0.22867737515753106</v>
      </c>
      <c r="N267" s="1237">
        <f t="shared" si="149"/>
        <v>0.23636798289488858</v>
      </c>
      <c r="O267" s="1237">
        <f t="shared" si="149"/>
        <v>-8.1657534312870261E-2</v>
      </c>
      <c r="P267" s="1237">
        <f t="shared" si="149"/>
        <v>-7.6453630049777122E-2</v>
      </c>
      <c r="Q267" s="1237">
        <f t="shared" si="149"/>
        <v>-7.1144394553440016E-2</v>
      </c>
      <c r="R267" s="1237">
        <f t="shared" si="149"/>
        <v>4.3130374945842043E-2</v>
      </c>
      <c r="S267" s="1237">
        <f t="shared" si="149"/>
        <v>4.979331645640217E-2</v>
      </c>
      <c r="T267" s="1237">
        <f t="shared" si="149"/>
        <v>5.6578142011690868E-2</v>
      </c>
      <c r="U267" s="1237">
        <f t="shared" si="149"/>
        <v>6.3486564974063686E-2</v>
      </c>
      <c r="V267" s="1237">
        <f t="shared" si="149"/>
        <v>-0.56118462786262224</v>
      </c>
      <c r="W267" s="1237">
        <f t="shared" si="149"/>
        <v>-0.55933250990648009</v>
      </c>
      <c r="X267" s="1259">
        <f t="shared" si="149"/>
        <v>-0.55739613730996318</v>
      </c>
    </row>
    <row r="268" spans="1:36" s="1066" customFormat="1" ht="20.100000000000001" customHeight="1" x14ac:dyDescent="0.2">
      <c r="A268" s="1064"/>
      <c r="B268" s="1233" t="s">
        <v>288</v>
      </c>
      <c r="C268" s="1172" t="s">
        <v>60</v>
      </c>
      <c r="D268" s="1240">
        <f t="shared" ref="D268:I268" si="150">D261-D254</f>
        <v>0.55365021904291467</v>
      </c>
      <c r="E268" s="1240">
        <f t="shared" si="150"/>
        <v>0.56150671803365793</v>
      </c>
      <c r="F268" s="1240">
        <f t="shared" si="150"/>
        <v>9.3584805315005237E-2</v>
      </c>
      <c r="G268" s="1240">
        <f t="shared" si="150"/>
        <v>9.6264349143184269E-2</v>
      </c>
      <c r="H268" s="1240">
        <f t="shared" si="150"/>
        <v>9.89531164780173E-2</v>
      </c>
      <c r="I268" s="1240">
        <f t="shared" si="150"/>
        <v>0.15994468578015186</v>
      </c>
      <c r="J268" s="1240">
        <f t="shared" ref="J268:X268" si="151">J261-J254</f>
        <v>0.10884980934707267</v>
      </c>
      <c r="K268" s="1240">
        <f t="shared" si="151"/>
        <v>0.11168378010105751</v>
      </c>
      <c r="L268" s="1240">
        <f t="shared" si="151"/>
        <v>0.11452748476357066</v>
      </c>
      <c r="M268" s="1240">
        <f t="shared" si="151"/>
        <v>0.1173809514932489</v>
      </c>
      <c r="N268" s="1240">
        <f t="shared" si="151"/>
        <v>0.12024420852689355</v>
      </c>
      <c r="O268" s="1240">
        <f t="shared" si="151"/>
        <v>-3.9282505659334221E-2</v>
      </c>
      <c r="P268" s="1240">
        <f t="shared" si="151"/>
        <v>-3.6527016875641527E-2</v>
      </c>
      <c r="Q268" s="1240">
        <f t="shared" si="151"/>
        <v>-3.3761752602833539E-2</v>
      </c>
      <c r="R268" s="1240">
        <f t="shared" si="151"/>
        <v>2.2086248313582413E-2</v>
      </c>
      <c r="S268" s="1240">
        <f t="shared" si="151"/>
        <v>2.50161646887197E-2</v>
      </c>
      <c r="T268" s="1240">
        <f t="shared" si="151"/>
        <v>2.795633844854617E-2</v>
      </c>
      <c r="U268" s="1240">
        <f t="shared" si="151"/>
        <v>3.0906799387089068E-2</v>
      </c>
      <c r="V268" s="1240">
        <f t="shared" si="151"/>
        <v>-0.26469621510613695</v>
      </c>
      <c r="W268" s="1240">
        <f t="shared" si="151"/>
        <v>-0.26195937083772614</v>
      </c>
      <c r="X268" s="1260">
        <f t="shared" si="151"/>
        <v>-0.25921233334915583</v>
      </c>
    </row>
    <row r="269" spans="1:36" s="1066" customFormat="1" ht="20.100000000000001" customHeight="1" x14ac:dyDescent="0.2">
      <c r="A269" s="1064"/>
      <c r="B269" s="1233" t="s">
        <v>289</v>
      </c>
      <c r="C269" s="1172" t="s">
        <v>60</v>
      </c>
      <c r="D269" s="1240">
        <f t="shared" ref="D269:I269" si="152">D262-D255</f>
        <v>0.33192870774379424</v>
      </c>
      <c r="E269" s="1240">
        <f t="shared" si="152"/>
        <v>0.33943581520032784</v>
      </c>
      <c r="F269" s="1240">
        <f t="shared" si="152"/>
        <v>5.629051917867578E-2</v>
      </c>
      <c r="G269" s="1240">
        <f t="shared" si="152"/>
        <v>5.8451598319289588E-2</v>
      </c>
      <c r="H269" s="1240">
        <f t="shared" si="152"/>
        <v>6.0648167991002477E-2</v>
      </c>
      <c r="I269" s="1240">
        <f t="shared" si="152"/>
        <v>9.959119058202115E-2</v>
      </c>
      <c r="J269" s="1240">
        <f t="shared" ref="J269:X269" si="153">J262-J255</f>
        <v>6.7953404323807698E-2</v>
      </c>
      <c r="K269" s="1240">
        <f t="shared" si="153"/>
        <v>7.0358873622164864E-2</v>
      </c>
      <c r="L269" s="1240">
        <f t="shared" si="153"/>
        <v>7.2803391299167686E-2</v>
      </c>
      <c r="M269" s="1240">
        <f t="shared" si="153"/>
        <v>7.5287479200641938E-2</v>
      </c>
      <c r="N269" s="1240">
        <f t="shared" si="153"/>
        <v>7.7811665552721787E-2</v>
      </c>
      <c r="O269" s="1240">
        <f t="shared" si="153"/>
        <v>-2.6747215243208777E-2</v>
      </c>
      <c r="P269" s="1240">
        <f t="shared" si="153"/>
        <v>-2.5030727542183384E-2</v>
      </c>
      <c r="Q269" s="1240">
        <f t="shared" si="153"/>
        <v>-2.3279903735513363E-2</v>
      </c>
      <c r="R269" s="1240">
        <f t="shared" si="153"/>
        <v>1.4287494917982979E-2</v>
      </c>
      <c r="S269" s="1240">
        <f t="shared" si="153"/>
        <v>1.6479165322660139E-2</v>
      </c>
      <c r="T269" s="1240">
        <f t="shared" si="153"/>
        <v>1.8710510388375123E-2</v>
      </c>
      <c r="U269" s="1240">
        <f t="shared" si="153"/>
        <v>2.0982082040898131E-2</v>
      </c>
      <c r="V269" s="1240">
        <f t="shared" si="153"/>
        <v>-0.18424073462253321</v>
      </c>
      <c r="W269" s="1240">
        <f t="shared" si="153"/>
        <v>-0.18361030337788531</v>
      </c>
      <c r="X269" s="1260">
        <f t="shared" si="153"/>
        <v>-0.1829522574195046</v>
      </c>
    </row>
    <row r="270" spans="1:36" s="1066" customFormat="1" ht="20.100000000000001" customHeight="1" thickBot="1" x14ac:dyDescent="0.25">
      <c r="A270" s="1064"/>
      <c r="B270" s="1234" t="s">
        <v>140</v>
      </c>
      <c r="C270" s="1173" t="s">
        <v>60</v>
      </c>
      <c r="D270" s="1243">
        <f t="shared" ref="D270:I270" si="154">D263-D256</f>
        <v>-2.3907175442982709</v>
      </c>
      <c r="E270" s="1243">
        <f t="shared" si="154"/>
        <v>-3.5781797125369792</v>
      </c>
      <c r="F270" s="1243">
        <f t="shared" si="154"/>
        <v>-0.20071781732323646</v>
      </c>
      <c r="G270" s="1243">
        <f t="shared" si="154"/>
        <v>-0.19320683690145035</v>
      </c>
      <c r="H270" s="1243">
        <f t="shared" si="154"/>
        <v>-0.18544829239876015</v>
      </c>
      <c r="I270" s="1243">
        <f t="shared" si="154"/>
        <v>-0.17743610422963663</v>
      </c>
      <c r="J270" s="1243">
        <f t="shared" ref="J270:X270" si="155">J263-J256</f>
        <v>-0.28852305628436925</v>
      </c>
      <c r="K270" s="1243">
        <f t="shared" si="155"/>
        <v>-0.27956925175959202</v>
      </c>
      <c r="L270" s="1243">
        <f t="shared" si="155"/>
        <v>-0.2703130752993872</v>
      </c>
      <c r="M270" s="1243">
        <f t="shared" si="155"/>
        <v>-0.26074706896881794</v>
      </c>
      <c r="N270" s="1243">
        <f t="shared" si="155"/>
        <v>-0.250863602889975</v>
      </c>
      <c r="O270" s="1243">
        <f t="shared" si="155"/>
        <v>-0.38528178036708882</v>
      </c>
      <c r="P270" s="1243">
        <f t="shared" si="155"/>
        <v>-0.37568747037690009</v>
      </c>
      <c r="Q270" s="1243">
        <f t="shared" si="155"/>
        <v>-0.36575794963707797</v>
      </c>
      <c r="R270" s="1243">
        <f t="shared" si="155"/>
        <v>-0.35548490137550703</v>
      </c>
      <c r="S270" s="1243">
        <f t="shared" si="155"/>
        <v>-0.34485981678478506</v>
      </c>
      <c r="T270" s="1243">
        <f t="shared" si="155"/>
        <v>-0.33387399067302392</v>
      </c>
      <c r="U270" s="1243">
        <f t="shared" si="155"/>
        <v>-0.46252668050404167</v>
      </c>
      <c r="V270" s="1243">
        <f t="shared" si="155"/>
        <v>-0.32733249136306708</v>
      </c>
      <c r="W270" s="1243">
        <f t="shared" si="155"/>
        <v>-0.31333850531993801</v>
      </c>
      <c r="X270" s="1261">
        <f t="shared" si="155"/>
        <v>-0.29889014020703408</v>
      </c>
    </row>
    <row r="271" spans="1:36" s="1066" customFormat="1" ht="27" thickBot="1" x14ac:dyDescent="0.45">
      <c r="A271" s="1064"/>
      <c r="B271" s="1105"/>
      <c r="C271" s="1105"/>
      <c r="D271" s="1105"/>
      <c r="E271" s="1105"/>
      <c r="F271" s="1105"/>
      <c r="G271" s="1105"/>
      <c r="H271" s="1105"/>
      <c r="I271" s="1105"/>
      <c r="J271" s="1105"/>
    </row>
    <row r="272" spans="1:36" s="1064" customFormat="1" ht="27" customHeight="1" thickBot="1" x14ac:dyDescent="0.3">
      <c r="B272" s="1150" t="s">
        <v>330</v>
      </c>
      <c r="C272" s="1151"/>
      <c r="D272" s="1152"/>
      <c r="E272" s="1152"/>
      <c r="F272" s="1262">
        <f>Rates!E78</f>
        <v>337459</v>
      </c>
      <c r="H272" s="1154"/>
      <c r="I272" s="1154"/>
      <c r="J272" s="1154"/>
      <c r="K272" s="1154"/>
      <c r="L272" s="1154"/>
      <c r="M272" s="1154"/>
      <c r="N272" s="1154"/>
      <c r="O272" s="1154"/>
      <c r="P272" s="1154"/>
      <c r="Q272" s="1154"/>
      <c r="R272" s="1154"/>
      <c r="S272" s="1154"/>
      <c r="T272" s="1154"/>
      <c r="U272" s="1154"/>
      <c r="V272" s="1154"/>
      <c r="W272" s="1154"/>
      <c r="X272" s="1154"/>
      <c r="Y272" s="1154"/>
      <c r="Z272" s="1154"/>
      <c r="AA272" s="1154"/>
    </row>
    <row r="273" spans="1:36" s="1066" customFormat="1" ht="25.5" customHeight="1" x14ac:dyDescent="0.25">
      <c r="A273" s="1064"/>
      <c r="B273" s="1851" t="s">
        <v>751</v>
      </c>
      <c r="C273" s="1851"/>
      <c r="D273" s="1851"/>
      <c r="E273" s="1851"/>
      <c r="F273" s="1851"/>
      <c r="G273" s="1246"/>
      <c r="I273" s="1154"/>
      <c r="J273" s="1154"/>
      <c r="K273" s="1154"/>
      <c r="L273" s="1154"/>
      <c r="M273" s="1154"/>
      <c r="N273" s="1154"/>
      <c r="O273" s="1154"/>
      <c r="P273" s="1154"/>
      <c r="Q273" s="1154"/>
      <c r="R273" s="1154"/>
      <c r="S273" s="1154"/>
      <c r="T273" s="1154"/>
      <c r="U273" s="1154"/>
      <c r="V273" s="1154"/>
      <c r="W273" s="1154"/>
      <c r="X273" s="1154"/>
      <c r="Y273" s="1154"/>
      <c r="Z273" s="1154"/>
      <c r="AA273" s="1154"/>
    </row>
    <row r="274" spans="1:36" s="1066" customFormat="1" ht="15.75" thickBot="1" x14ac:dyDescent="0.3">
      <c r="A274" s="1064"/>
      <c r="D274" s="1156"/>
      <c r="G274" s="1157"/>
      <c r="H274" s="1157"/>
      <c r="I274" s="1157"/>
      <c r="J274" s="1157"/>
      <c r="K274" s="1157"/>
      <c r="L274" s="1157"/>
      <c r="M274" s="1157"/>
      <c r="N274" s="1157"/>
      <c r="O274" s="1157"/>
      <c r="P274" s="1157"/>
      <c r="Q274" s="1157"/>
      <c r="R274" s="1157"/>
      <c r="S274" s="1157"/>
      <c r="T274" s="1157"/>
      <c r="U274" s="1157"/>
      <c r="V274" s="1157"/>
      <c r="W274" s="1157"/>
      <c r="X274" s="1157"/>
      <c r="Y274" s="1157"/>
      <c r="Z274" s="1157"/>
      <c r="AA274" s="1157"/>
    </row>
    <row r="275" spans="1:36" s="1066" customFormat="1" ht="20.100000000000001" customHeight="1" thickBot="1" x14ac:dyDescent="0.3">
      <c r="A275" s="1064"/>
      <c r="B275" s="1064"/>
      <c r="C275" s="1193" t="s">
        <v>117</v>
      </c>
      <c r="D275" s="712">
        <v>2023</v>
      </c>
      <c r="E275" s="417">
        <f>D275+1</f>
        <v>2024</v>
      </c>
      <c r="F275" s="417">
        <f t="shared" ref="F275:X275" si="156">E275+1</f>
        <v>2025</v>
      </c>
      <c r="G275" s="417">
        <f t="shared" si="156"/>
        <v>2026</v>
      </c>
      <c r="H275" s="417">
        <f t="shared" si="156"/>
        <v>2027</v>
      </c>
      <c r="I275" s="417">
        <f t="shared" si="156"/>
        <v>2028</v>
      </c>
      <c r="J275" s="417">
        <f t="shared" si="156"/>
        <v>2029</v>
      </c>
      <c r="K275" s="417">
        <f t="shared" si="156"/>
        <v>2030</v>
      </c>
      <c r="L275" s="417">
        <f t="shared" si="156"/>
        <v>2031</v>
      </c>
      <c r="M275" s="417">
        <f t="shared" si="156"/>
        <v>2032</v>
      </c>
      <c r="N275" s="417">
        <f t="shared" si="156"/>
        <v>2033</v>
      </c>
      <c r="O275" s="417">
        <f t="shared" si="156"/>
        <v>2034</v>
      </c>
      <c r="P275" s="417">
        <f t="shared" si="156"/>
        <v>2035</v>
      </c>
      <c r="Q275" s="417">
        <f t="shared" si="156"/>
        <v>2036</v>
      </c>
      <c r="R275" s="417">
        <f t="shared" si="156"/>
        <v>2037</v>
      </c>
      <c r="S275" s="417">
        <f t="shared" si="156"/>
        <v>2038</v>
      </c>
      <c r="T275" s="417">
        <f t="shared" si="156"/>
        <v>2039</v>
      </c>
      <c r="U275" s="417">
        <f t="shared" si="156"/>
        <v>2040</v>
      </c>
      <c r="V275" s="417">
        <f t="shared" si="156"/>
        <v>2041</v>
      </c>
      <c r="W275" s="417">
        <f t="shared" si="156"/>
        <v>2042</v>
      </c>
      <c r="X275" s="713">
        <f t="shared" si="156"/>
        <v>2043</v>
      </c>
    </row>
    <row r="276" spans="1:36" s="1066" customFormat="1" ht="20.100000000000001" customHeight="1" x14ac:dyDescent="0.2">
      <c r="A276" s="1064"/>
      <c r="B276" s="1158" t="s">
        <v>394</v>
      </c>
      <c r="C276" s="1171" t="s">
        <v>60</v>
      </c>
      <c r="D276" s="1281">
        <f t="shared" ref="D276:X276" si="157">$F$272*D267</f>
        <v>340149.0791225147</v>
      </c>
      <c r="E276" s="1282">
        <f t="shared" si="157"/>
        <v>347873.66464794241</v>
      </c>
      <c r="F276" s="1282">
        <f t="shared" si="157"/>
        <v>57656.86573815388</v>
      </c>
      <c r="G276" s="1282">
        <f t="shared" si="157"/>
        <v>59876.446161694781</v>
      </c>
      <c r="H276" s="1282">
        <f t="shared" si="157"/>
        <v>62132.824462995632</v>
      </c>
      <c r="I276" s="1282">
        <f t="shared" si="157"/>
        <v>102082.37461422186</v>
      </c>
      <c r="J276" s="1282">
        <f t="shared" si="157"/>
        <v>69630.888618813653</v>
      </c>
      <c r="K276" s="1282">
        <f t="shared" si="157"/>
        <v>72102.981253713166</v>
      </c>
      <c r="L276" s="1282">
        <f t="shared" si="157"/>
        <v>74615.58223046799</v>
      </c>
      <c r="M276" s="1282">
        <f t="shared" si="157"/>
        <v>77169.23834328528</v>
      </c>
      <c r="N276" s="1282">
        <f t="shared" si="157"/>
        <v>79764.503139726206</v>
      </c>
      <c r="O276" s="1282">
        <f t="shared" si="157"/>
        <v>-27556.069871686886</v>
      </c>
      <c r="P276" s="1282">
        <f t="shared" si="157"/>
        <v>-25799.965542967737</v>
      </c>
      <c r="Q276" s="1282">
        <f t="shared" si="157"/>
        <v>-24008.316241609315</v>
      </c>
      <c r="R276" s="1282">
        <f t="shared" si="157"/>
        <v>14554.73319884891</v>
      </c>
      <c r="S276" s="1282">
        <f t="shared" si="157"/>
        <v>16803.202778061019</v>
      </c>
      <c r="T276" s="1282">
        <f t="shared" si="157"/>
        <v>19092.803225123189</v>
      </c>
      <c r="U276" s="1282">
        <f t="shared" si="157"/>
        <v>21424.112729582557</v>
      </c>
      <c r="V276" s="1282">
        <f t="shared" si="157"/>
        <v>-189376.80333389263</v>
      </c>
      <c r="W276" s="1282">
        <f t="shared" si="157"/>
        <v>-188751.78946053085</v>
      </c>
      <c r="X276" s="1283">
        <f t="shared" si="157"/>
        <v>-188098.34310048286</v>
      </c>
      <c r="AG276" s="1266"/>
    </row>
    <row r="277" spans="1:36" s="1066" customFormat="1" ht="20.100000000000001" customHeight="1" x14ac:dyDescent="0.2">
      <c r="A277" s="1064"/>
      <c r="B277" s="1164" t="s">
        <v>467</v>
      </c>
      <c r="C277" s="1172" t="s">
        <v>60</v>
      </c>
      <c r="D277" s="1284">
        <f t="shared" ref="D277:X277" si="158">$F$272*D268</f>
        <v>186834.24926800295</v>
      </c>
      <c r="E277" s="1285">
        <f t="shared" si="158"/>
        <v>189485.49556092016</v>
      </c>
      <c r="F277" s="1285">
        <f t="shared" si="158"/>
        <v>31581.034816796353</v>
      </c>
      <c r="G277" s="1285">
        <f t="shared" si="158"/>
        <v>32485.270997509819</v>
      </c>
      <c r="H277" s="1285">
        <f t="shared" si="158"/>
        <v>33392.619733555242</v>
      </c>
      <c r="I277" s="1285">
        <f t="shared" si="158"/>
        <v>53974.773718684264</v>
      </c>
      <c r="J277" s="1285">
        <f t="shared" si="158"/>
        <v>36732.347812453794</v>
      </c>
      <c r="K277" s="1285">
        <f t="shared" si="158"/>
        <v>37688.696749122762</v>
      </c>
      <c r="L277" s="1285">
        <f t="shared" si="158"/>
        <v>38648.330480829791</v>
      </c>
      <c r="M277" s="1285">
        <f t="shared" si="158"/>
        <v>39611.25850996028</v>
      </c>
      <c r="N277" s="1285">
        <f t="shared" si="158"/>
        <v>40577.490365276972</v>
      </c>
      <c r="O277" s="1285">
        <f t="shared" si="158"/>
        <v>-13256.235077293268</v>
      </c>
      <c r="P277" s="1285">
        <f t="shared" si="158"/>
        <v>-12326.370587837115</v>
      </c>
      <c r="Q277" s="1285">
        <f t="shared" si="158"/>
        <v>-11393.207271599604</v>
      </c>
      <c r="R277" s="1285">
        <f t="shared" si="158"/>
        <v>7453.2032696532078</v>
      </c>
      <c r="S277" s="1285">
        <f t="shared" si="158"/>
        <v>8441.9299196906613</v>
      </c>
      <c r="T277" s="1285">
        <f t="shared" si="158"/>
        <v>9434.1180165079422</v>
      </c>
      <c r="U277" s="1285">
        <f t="shared" si="158"/>
        <v>10429.777614367689</v>
      </c>
      <c r="V277" s="1285">
        <f t="shared" si="158"/>
        <v>-89324.120053501872</v>
      </c>
      <c r="W277" s="1285">
        <f t="shared" si="158"/>
        <v>-88400.547323528226</v>
      </c>
      <c r="X277" s="1286">
        <f t="shared" si="158"/>
        <v>-87473.53479967278</v>
      </c>
      <c r="AG277" s="1266"/>
    </row>
    <row r="278" spans="1:36" s="1066" customFormat="1" ht="20.100000000000001" customHeight="1" x14ac:dyDescent="0.2">
      <c r="A278" s="1064"/>
      <c r="B278" s="1158" t="s">
        <v>396</v>
      </c>
      <c r="C278" s="1172" t="s">
        <v>60</v>
      </c>
      <c r="D278" s="1284">
        <f t="shared" ref="D278:X278" si="159">$F$272*D269</f>
        <v>112012.32978651306</v>
      </c>
      <c r="E278" s="1285">
        <f t="shared" si="159"/>
        <v>114545.67076168743</v>
      </c>
      <c r="F278" s="1285">
        <f t="shared" si="159"/>
        <v>18995.742311516751</v>
      </c>
      <c r="G278" s="1285">
        <f t="shared" si="159"/>
        <v>19725.017917229146</v>
      </c>
      <c r="H278" s="1285">
        <f t="shared" si="159"/>
        <v>20466.270122075704</v>
      </c>
      <c r="I278" s="1285">
        <f t="shared" si="159"/>
        <v>33607.943582618274</v>
      </c>
      <c r="J278" s="1285">
        <f t="shared" si="159"/>
        <v>22931.48786970782</v>
      </c>
      <c r="K278" s="1285">
        <f t="shared" si="159"/>
        <v>23743.235133662132</v>
      </c>
      <c r="L278" s="1285">
        <f t="shared" si="159"/>
        <v>24568.159624425829</v>
      </c>
      <c r="M278" s="1285">
        <f t="shared" si="159"/>
        <v>25406.437443569426</v>
      </c>
      <c r="N278" s="1285">
        <f t="shared" si="159"/>
        <v>26258.246845755941</v>
      </c>
      <c r="O278" s="1285">
        <f t="shared" si="159"/>
        <v>-9026.08850875799</v>
      </c>
      <c r="P278" s="1285">
        <f t="shared" si="159"/>
        <v>-8446.8442856576621</v>
      </c>
      <c r="Q278" s="1285">
        <f t="shared" si="159"/>
        <v>-7856.0130346826036</v>
      </c>
      <c r="R278" s="1285">
        <f t="shared" si="159"/>
        <v>4821.4437475276181</v>
      </c>
      <c r="S278" s="1285">
        <f t="shared" si="159"/>
        <v>5561.0426506195681</v>
      </c>
      <c r="T278" s="1285">
        <f t="shared" si="159"/>
        <v>6314.0301251506808</v>
      </c>
      <c r="U278" s="1285">
        <f t="shared" si="159"/>
        <v>7080.5924234394424</v>
      </c>
      <c r="V278" s="1285">
        <f t="shared" si="159"/>
        <v>-62173.694064985437</v>
      </c>
      <c r="W278" s="1285">
        <f t="shared" si="159"/>
        <v>-61960.949367597801</v>
      </c>
      <c r="X278" s="1286">
        <f t="shared" si="159"/>
        <v>-61738.885836528607</v>
      </c>
      <c r="AG278" s="1266"/>
    </row>
    <row r="279" spans="1:36" s="1066" customFormat="1" ht="20.100000000000001" customHeight="1" x14ac:dyDescent="0.2">
      <c r="A279" s="1064"/>
      <c r="B279" s="1158" t="s">
        <v>140</v>
      </c>
      <c r="C279" s="1172" t="s">
        <v>60</v>
      </c>
      <c r="D279" s="1284">
        <f t="shared" ref="D279:X279" si="160">$F$272*D270</f>
        <v>-806769.15178135014</v>
      </c>
      <c r="E279" s="1285">
        <f t="shared" si="160"/>
        <v>-1207488.9476130165</v>
      </c>
      <c r="F279" s="1285">
        <f t="shared" si="160"/>
        <v>-67734.033916082059</v>
      </c>
      <c r="G279" s="1285">
        <f t="shared" si="160"/>
        <v>-65199.385973926532</v>
      </c>
      <c r="H279" s="1285">
        <f t="shared" si="160"/>
        <v>-62581.195304593202</v>
      </c>
      <c r="I279" s="1285">
        <f t="shared" si="160"/>
        <v>-59877.410297228947</v>
      </c>
      <c r="J279" s="1285">
        <f t="shared" si="160"/>
        <v>-97364.702050666965</v>
      </c>
      <c r="K279" s="1285">
        <f t="shared" si="160"/>
        <v>-94343.160129540163</v>
      </c>
      <c r="L279" s="1285">
        <f t="shared" si="160"/>
        <v>-91219.580077455903</v>
      </c>
      <c r="M279" s="1285">
        <f t="shared" si="160"/>
        <v>-87991.445147148333</v>
      </c>
      <c r="N279" s="1285">
        <f t="shared" si="160"/>
        <v>-84656.180567648073</v>
      </c>
      <c r="O279" s="1285">
        <f t="shared" si="160"/>
        <v>-130016.80432089743</v>
      </c>
      <c r="P279" s="1285">
        <f t="shared" si="160"/>
        <v>-126779.11806591833</v>
      </c>
      <c r="Q279" s="1285">
        <f t="shared" si="160"/>
        <v>-123428.3119265787</v>
      </c>
      <c r="R279" s="1285">
        <f t="shared" si="160"/>
        <v>-119961.57933327723</v>
      </c>
      <c r="S279" s="1285">
        <f t="shared" si="160"/>
        <v>-116376.04891237678</v>
      </c>
      <c r="T279" s="1285">
        <f t="shared" si="160"/>
        <v>-112668.78301852797</v>
      </c>
      <c r="U279" s="1285">
        <f t="shared" si="160"/>
        <v>-156083.79107621338</v>
      </c>
      <c r="V279" s="1285">
        <f t="shared" si="160"/>
        <v>-110461.29520288925</v>
      </c>
      <c r="W279" s="1285">
        <f t="shared" si="160"/>
        <v>-105738.89866676096</v>
      </c>
      <c r="X279" s="1286">
        <f t="shared" si="160"/>
        <v>-100863.16782412551</v>
      </c>
      <c r="AG279" s="1266"/>
    </row>
    <row r="280" spans="1:36" s="1066" customFormat="1" ht="20.100000000000001" customHeight="1" thickBot="1" x14ac:dyDescent="0.25">
      <c r="A280" s="1064"/>
      <c r="B280" s="1158" t="s">
        <v>5</v>
      </c>
      <c r="C280" s="1173" t="s">
        <v>60</v>
      </c>
      <c r="D280" s="1287">
        <f>SUM(D276:D279)</f>
        <v>-167773.4936043194</v>
      </c>
      <c r="E280" s="1288">
        <f t="shared" ref="E280:X280" si="161">SUM(E276:E279)</f>
        <v>-555584.11664246651</v>
      </c>
      <c r="F280" s="1288">
        <f t="shared" si="161"/>
        <v>40499.608950384922</v>
      </c>
      <c r="G280" s="1288">
        <f t="shared" si="161"/>
        <v>46887.349102507214</v>
      </c>
      <c r="H280" s="1288">
        <f t="shared" si="161"/>
        <v>53410.519014033373</v>
      </c>
      <c r="I280" s="1288">
        <f t="shared" si="161"/>
        <v>129787.68161829544</v>
      </c>
      <c r="J280" s="1288">
        <f t="shared" si="161"/>
        <v>31930.022250308306</v>
      </c>
      <c r="K280" s="1288">
        <f t="shared" si="161"/>
        <v>39191.753006957879</v>
      </c>
      <c r="L280" s="1288">
        <f t="shared" si="161"/>
        <v>46612.49225826771</v>
      </c>
      <c r="M280" s="1288">
        <f t="shared" si="161"/>
        <v>54195.489149666653</v>
      </c>
      <c r="N280" s="1288">
        <f t="shared" si="161"/>
        <v>61944.05978311105</v>
      </c>
      <c r="O280" s="1288">
        <f t="shared" si="161"/>
        <v>-179855.19777863557</v>
      </c>
      <c r="P280" s="1288">
        <f t="shared" si="161"/>
        <v>-173352.29848238084</v>
      </c>
      <c r="Q280" s="1288">
        <f t="shared" si="161"/>
        <v>-166685.8484744702</v>
      </c>
      <c r="R280" s="1288">
        <f t="shared" si="161"/>
        <v>-93132.199117247495</v>
      </c>
      <c r="S280" s="1288">
        <f t="shared" si="161"/>
        <v>-85569.873564005524</v>
      </c>
      <c r="T280" s="1288">
        <f t="shared" si="161"/>
        <v>-77827.831651746164</v>
      </c>
      <c r="U280" s="1288">
        <f t="shared" si="161"/>
        <v>-117149.3083088237</v>
      </c>
      <c r="V280" s="1288">
        <f t="shared" si="161"/>
        <v>-451335.9126552692</v>
      </c>
      <c r="W280" s="1288">
        <f t="shared" si="161"/>
        <v>-444852.18481841782</v>
      </c>
      <c r="X280" s="1289">
        <f t="shared" si="161"/>
        <v>-438173.93156080972</v>
      </c>
      <c r="AG280" s="1266"/>
    </row>
    <row r="281" spans="1:36" s="1066" customFormat="1" ht="20.100000000000001" customHeight="1" thickBot="1" x14ac:dyDescent="0.3">
      <c r="A281" s="1064"/>
      <c r="B281" s="1270"/>
      <c r="C281" s="1270"/>
      <c r="D281" s="1270"/>
      <c r="E281" s="1270"/>
      <c r="F281" s="1271"/>
      <c r="G281" s="1264"/>
      <c r="H281" s="1264"/>
      <c r="I281" s="1264"/>
      <c r="J281" s="1264"/>
      <c r="K281" s="1264"/>
      <c r="L281" s="1264"/>
      <c r="M281" s="1264"/>
      <c r="N281" s="1264"/>
      <c r="O281" s="1264"/>
      <c r="P281" s="1264"/>
      <c r="Q281" s="1264"/>
      <c r="R281" s="1264"/>
      <c r="S281" s="1264"/>
      <c r="T281" s="1264"/>
      <c r="U281" s="1264"/>
      <c r="V281" s="1264"/>
      <c r="W281" s="1264"/>
      <c r="X281" s="1264"/>
      <c r="Y281" s="1264"/>
      <c r="Z281" s="1264"/>
      <c r="AA281" s="1264"/>
      <c r="AG281" s="1266"/>
    </row>
    <row r="282" spans="1:36" s="1066" customFormat="1" ht="20.100000000000001" customHeight="1" thickBot="1" x14ac:dyDescent="0.3">
      <c r="A282" s="1064"/>
      <c r="B282" s="1064"/>
      <c r="C282" s="1193" t="s">
        <v>117</v>
      </c>
      <c r="D282" s="712">
        <v>2023</v>
      </c>
      <c r="E282" s="417">
        <f>D282+1</f>
        <v>2024</v>
      </c>
      <c r="F282" s="417">
        <f t="shared" ref="F282:X282" si="162">E282+1</f>
        <v>2025</v>
      </c>
      <c r="G282" s="417">
        <f t="shared" si="162"/>
        <v>2026</v>
      </c>
      <c r="H282" s="417">
        <f t="shared" si="162"/>
        <v>2027</v>
      </c>
      <c r="I282" s="417">
        <f t="shared" si="162"/>
        <v>2028</v>
      </c>
      <c r="J282" s="417">
        <f t="shared" si="162"/>
        <v>2029</v>
      </c>
      <c r="K282" s="417">
        <f t="shared" si="162"/>
        <v>2030</v>
      </c>
      <c r="L282" s="417">
        <f t="shared" si="162"/>
        <v>2031</v>
      </c>
      <c r="M282" s="417">
        <f t="shared" si="162"/>
        <v>2032</v>
      </c>
      <c r="N282" s="417">
        <f t="shared" si="162"/>
        <v>2033</v>
      </c>
      <c r="O282" s="417">
        <f t="shared" si="162"/>
        <v>2034</v>
      </c>
      <c r="P282" s="417">
        <f t="shared" si="162"/>
        <v>2035</v>
      </c>
      <c r="Q282" s="417">
        <f t="shared" si="162"/>
        <v>2036</v>
      </c>
      <c r="R282" s="417">
        <f t="shared" si="162"/>
        <v>2037</v>
      </c>
      <c r="S282" s="417">
        <f t="shared" si="162"/>
        <v>2038</v>
      </c>
      <c r="T282" s="417">
        <f t="shared" si="162"/>
        <v>2039</v>
      </c>
      <c r="U282" s="417">
        <f t="shared" si="162"/>
        <v>2040</v>
      </c>
      <c r="V282" s="417">
        <f t="shared" si="162"/>
        <v>2041</v>
      </c>
      <c r="W282" s="417">
        <f t="shared" si="162"/>
        <v>2042</v>
      </c>
      <c r="X282" s="713">
        <f t="shared" si="162"/>
        <v>2043</v>
      </c>
      <c r="Y282" s="1064"/>
      <c r="Z282" s="1064"/>
      <c r="AA282" s="1064"/>
      <c r="AB282" s="1064"/>
      <c r="AC282" s="1064"/>
      <c r="AD282" s="1064"/>
      <c r="AE282" s="1064"/>
      <c r="AF282" s="1064"/>
      <c r="AG282" s="1064"/>
      <c r="AH282" s="1064"/>
      <c r="AI282" s="1064"/>
      <c r="AJ282" s="1064"/>
    </row>
    <row r="283" spans="1:36" s="1066" customFormat="1" ht="20.100000000000001" customHeight="1" x14ac:dyDescent="0.2">
      <c r="A283" s="1064"/>
      <c r="B283" s="1158" t="s">
        <v>385</v>
      </c>
      <c r="C283" s="1171" t="s">
        <v>60</v>
      </c>
      <c r="D283" s="1166">
        <f>SUM(D276:D278)</f>
        <v>638995.65817703074</v>
      </c>
      <c r="E283" s="1162">
        <f t="shared" ref="E283:X283" si="163">SUM(E276:E278)</f>
        <v>651904.83097054996</v>
      </c>
      <c r="F283" s="1162">
        <f t="shared" si="163"/>
        <v>108233.64286646698</v>
      </c>
      <c r="G283" s="1162">
        <f t="shared" si="163"/>
        <v>112086.73507643375</v>
      </c>
      <c r="H283" s="1162">
        <f t="shared" si="163"/>
        <v>115991.71431862657</v>
      </c>
      <c r="I283" s="1162">
        <f t="shared" si="163"/>
        <v>189665.09191552439</v>
      </c>
      <c r="J283" s="1162">
        <f t="shared" si="163"/>
        <v>129294.72430097527</v>
      </c>
      <c r="K283" s="1162">
        <f t="shared" si="163"/>
        <v>133534.91313649804</v>
      </c>
      <c r="L283" s="1162">
        <f t="shared" si="163"/>
        <v>137832.07233572361</v>
      </c>
      <c r="M283" s="1162">
        <f t="shared" si="163"/>
        <v>142186.93429681499</v>
      </c>
      <c r="N283" s="1162">
        <f t="shared" si="163"/>
        <v>146600.24035075912</v>
      </c>
      <c r="O283" s="1162">
        <f t="shared" si="163"/>
        <v>-49838.393457738144</v>
      </c>
      <c r="P283" s="1162">
        <f t="shared" si="163"/>
        <v>-46573.180416462506</v>
      </c>
      <c r="Q283" s="1162">
        <f t="shared" si="163"/>
        <v>-43257.536547891519</v>
      </c>
      <c r="R283" s="1162">
        <f t="shared" si="163"/>
        <v>26829.380216029735</v>
      </c>
      <c r="S283" s="1162">
        <f t="shared" si="163"/>
        <v>30806.175348371249</v>
      </c>
      <c r="T283" s="1162">
        <f t="shared" si="163"/>
        <v>34840.95136678181</v>
      </c>
      <c r="U283" s="1162">
        <f t="shared" si="163"/>
        <v>38934.482767389687</v>
      </c>
      <c r="V283" s="1162">
        <f t="shared" si="163"/>
        <v>-340874.61745237996</v>
      </c>
      <c r="W283" s="1162">
        <f t="shared" si="163"/>
        <v>-339113.28615165688</v>
      </c>
      <c r="X283" s="1163">
        <f t="shared" si="163"/>
        <v>-337310.76373668422</v>
      </c>
      <c r="Y283" s="1162">
        <f>SUM(D283:X283)</f>
        <v>1480769.7696811631</v>
      </c>
      <c r="Z283" s="1064"/>
      <c r="AA283" s="1064"/>
      <c r="AB283" s="1064"/>
      <c r="AC283" s="1064"/>
      <c r="AD283" s="1064"/>
      <c r="AE283" s="1064"/>
      <c r="AF283" s="1064"/>
      <c r="AG283" s="1146"/>
      <c r="AH283" s="1064"/>
      <c r="AI283" s="1064"/>
      <c r="AJ283" s="1064"/>
    </row>
    <row r="284" spans="1:36" s="1066" customFormat="1" ht="20.100000000000001" customHeight="1" x14ac:dyDescent="0.2">
      <c r="A284" s="1064"/>
      <c r="B284" s="1158" t="s">
        <v>140</v>
      </c>
      <c r="C284" s="1172" t="s">
        <v>60</v>
      </c>
      <c r="D284" s="1166">
        <f>D279</f>
        <v>-806769.15178135014</v>
      </c>
      <c r="E284" s="1162">
        <f t="shared" ref="E284:X284" si="164">E279</f>
        <v>-1207488.9476130165</v>
      </c>
      <c r="F284" s="1162">
        <f t="shared" si="164"/>
        <v>-67734.033916082059</v>
      </c>
      <c r="G284" s="1162">
        <f t="shared" si="164"/>
        <v>-65199.385973926532</v>
      </c>
      <c r="H284" s="1162">
        <f t="shared" si="164"/>
        <v>-62581.195304593202</v>
      </c>
      <c r="I284" s="1162">
        <f t="shared" si="164"/>
        <v>-59877.410297228947</v>
      </c>
      <c r="J284" s="1162">
        <f t="shared" si="164"/>
        <v>-97364.702050666965</v>
      </c>
      <c r="K284" s="1162">
        <f t="shared" si="164"/>
        <v>-94343.160129540163</v>
      </c>
      <c r="L284" s="1162">
        <f t="shared" si="164"/>
        <v>-91219.580077455903</v>
      </c>
      <c r="M284" s="1162">
        <f t="shared" si="164"/>
        <v>-87991.445147148333</v>
      </c>
      <c r="N284" s="1162">
        <f t="shared" si="164"/>
        <v>-84656.180567648073</v>
      </c>
      <c r="O284" s="1162">
        <f t="shared" si="164"/>
        <v>-130016.80432089743</v>
      </c>
      <c r="P284" s="1162">
        <f t="shared" si="164"/>
        <v>-126779.11806591833</v>
      </c>
      <c r="Q284" s="1162">
        <f t="shared" si="164"/>
        <v>-123428.3119265787</v>
      </c>
      <c r="R284" s="1162">
        <f t="shared" si="164"/>
        <v>-119961.57933327723</v>
      </c>
      <c r="S284" s="1162">
        <f t="shared" si="164"/>
        <v>-116376.04891237678</v>
      </c>
      <c r="T284" s="1162">
        <f t="shared" si="164"/>
        <v>-112668.78301852797</v>
      </c>
      <c r="U284" s="1162">
        <f t="shared" si="164"/>
        <v>-156083.79107621338</v>
      </c>
      <c r="V284" s="1162">
        <f t="shared" si="164"/>
        <v>-110461.29520288925</v>
      </c>
      <c r="W284" s="1162">
        <f t="shared" si="164"/>
        <v>-105738.89866676096</v>
      </c>
      <c r="X284" s="1163">
        <f t="shared" si="164"/>
        <v>-100863.16782412551</v>
      </c>
      <c r="Y284" s="1162">
        <f>SUM(D284:X284)</f>
        <v>-3927602.9912062217</v>
      </c>
      <c r="Z284" s="1064"/>
      <c r="AA284" s="1064"/>
      <c r="AB284" s="1064"/>
      <c r="AC284" s="1064"/>
      <c r="AD284" s="1064"/>
      <c r="AE284" s="1064"/>
      <c r="AF284" s="1064"/>
      <c r="AG284" s="1146"/>
      <c r="AH284" s="1064"/>
      <c r="AI284" s="1064"/>
      <c r="AJ284" s="1064"/>
    </row>
    <row r="285" spans="1:36" s="1066" customFormat="1" ht="20.100000000000001" customHeight="1" thickBot="1" x14ac:dyDescent="0.25">
      <c r="A285" s="1064"/>
      <c r="B285" s="1158" t="s">
        <v>5</v>
      </c>
      <c r="C285" s="1173" t="s">
        <v>60</v>
      </c>
      <c r="D285" s="1168">
        <f t="shared" ref="D285:X285" si="165">SUM(D283:D284)</f>
        <v>-167773.4936043194</v>
      </c>
      <c r="E285" s="1169">
        <f t="shared" si="165"/>
        <v>-555584.11664246651</v>
      </c>
      <c r="F285" s="1169">
        <f t="shared" si="165"/>
        <v>40499.608950384922</v>
      </c>
      <c r="G285" s="1169">
        <f t="shared" si="165"/>
        <v>46887.349102507214</v>
      </c>
      <c r="H285" s="1169">
        <f t="shared" si="165"/>
        <v>53410.519014033373</v>
      </c>
      <c r="I285" s="1169">
        <f t="shared" si="165"/>
        <v>129787.68161829544</v>
      </c>
      <c r="J285" s="1169">
        <f t="shared" si="165"/>
        <v>31930.022250308306</v>
      </c>
      <c r="K285" s="1169">
        <f t="shared" si="165"/>
        <v>39191.753006957879</v>
      </c>
      <c r="L285" s="1169">
        <f t="shared" si="165"/>
        <v>46612.49225826771</v>
      </c>
      <c r="M285" s="1169">
        <f t="shared" si="165"/>
        <v>54195.489149666653</v>
      </c>
      <c r="N285" s="1169">
        <f t="shared" si="165"/>
        <v>61944.05978311105</v>
      </c>
      <c r="O285" s="1169">
        <f t="shared" si="165"/>
        <v>-179855.19777863557</v>
      </c>
      <c r="P285" s="1169">
        <f t="shared" si="165"/>
        <v>-173352.29848238084</v>
      </c>
      <c r="Q285" s="1169">
        <f t="shared" si="165"/>
        <v>-166685.8484744702</v>
      </c>
      <c r="R285" s="1169">
        <f t="shared" si="165"/>
        <v>-93132.199117247495</v>
      </c>
      <c r="S285" s="1169">
        <f t="shared" si="165"/>
        <v>-85569.873564005524</v>
      </c>
      <c r="T285" s="1169">
        <f t="shared" si="165"/>
        <v>-77827.831651746164</v>
      </c>
      <c r="U285" s="1169">
        <f t="shared" si="165"/>
        <v>-117149.3083088237</v>
      </c>
      <c r="V285" s="1169">
        <f t="shared" si="165"/>
        <v>-451335.9126552692</v>
      </c>
      <c r="W285" s="1169">
        <f t="shared" si="165"/>
        <v>-444852.18481841782</v>
      </c>
      <c r="X285" s="1170">
        <f t="shared" si="165"/>
        <v>-438173.93156080972</v>
      </c>
      <c r="Y285" s="1162">
        <f>SUM(D285:X285)</f>
        <v>-2446833.2215250595</v>
      </c>
      <c r="Z285" s="1064"/>
      <c r="AA285" s="1064"/>
      <c r="AB285" s="1064"/>
      <c r="AC285" s="1064"/>
      <c r="AD285" s="1064"/>
      <c r="AE285" s="1064"/>
      <c r="AF285" s="1064"/>
      <c r="AG285" s="1146"/>
      <c r="AH285" s="1064"/>
      <c r="AI285" s="1064"/>
      <c r="AJ285" s="1064"/>
    </row>
    <row r="286" spans="1:36" s="1064" customFormat="1" ht="20.100000000000001" customHeight="1" x14ac:dyDescent="0.2">
      <c r="B286" s="995" t="s">
        <v>313</v>
      </c>
      <c r="C286" s="1095"/>
      <c r="D286" s="1146"/>
      <c r="E286" s="1146"/>
      <c r="F286" s="1146"/>
      <c r="G286" s="1146"/>
      <c r="H286" s="1146"/>
      <c r="I286" s="1146"/>
      <c r="J286" s="1146"/>
      <c r="K286" s="1146"/>
      <c r="L286" s="1146"/>
      <c r="M286" s="1146"/>
      <c r="N286" s="1146"/>
      <c r="O286" s="1146"/>
      <c r="P286" s="1146"/>
      <c r="Q286" s="1146"/>
      <c r="R286" s="1146"/>
      <c r="S286" s="1146"/>
      <c r="T286" s="1146"/>
      <c r="U286" s="1146"/>
      <c r="V286" s="1146"/>
      <c r="W286" s="1146"/>
      <c r="X286" s="1146"/>
      <c r="AG286" s="1146"/>
    </row>
    <row r="287" spans="1:36" s="1064" customFormat="1" ht="20.100000000000001" customHeight="1" x14ac:dyDescent="0.2">
      <c r="B287" s="1136"/>
      <c r="C287" s="1095" t="s">
        <v>494</v>
      </c>
      <c r="D287" s="1146">
        <f>D280-D285</f>
        <v>0</v>
      </c>
      <c r="E287" s="1146">
        <f t="shared" ref="E287:X287" si="166">E280-E285</f>
        <v>0</v>
      </c>
      <c r="F287" s="1146">
        <f t="shared" si="166"/>
        <v>0</v>
      </c>
      <c r="G287" s="1146">
        <f t="shared" si="166"/>
        <v>0</v>
      </c>
      <c r="H287" s="1146">
        <f t="shared" si="166"/>
        <v>0</v>
      </c>
      <c r="I287" s="1146">
        <f t="shared" si="166"/>
        <v>0</v>
      </c>
      <c r="J287" s="1146">
        <f t="shared" si="166"/>
        <v>0</v>
      </c>
      <c r="K287" s="1146">
        <f t="shared" si="166"/>
        <v>0</v>
      </c>
      <c r="L287" s="1146">
        <f t="shared" si="166"/>
        <v>0</v>
      </c>
      <c r="M287" s="1146">
        <f t="shared" si="166"/>
        <v>0</v>
      </c>
      <c r="N287" s="1146">
        <f t="shared" si="166"/>
        <v>0</v>
      </c>
      <c r="O287" s="1146">
        <f t="shared" si="166"/>
        <v>0</v>
      </c>
      <c r="P287" s="1146">
        <f t="shared" si="166"/>
        <v>0</v>
      </c>
      <c r="Q287" s="1146">
        <f t="shared" si="166"/>
        <v>0</v>
      </c>
      <c r="R287" s="1146">
        <f t="shared" si="166"/>
        <v>0</v>
      </c>
      <c r="S287" s="1146">
        <f t="shared" si="166"/>
        <v>0</v>
      </c>
      <c r="T287" s="1146">
        <f t="shared" si="166"/>
        <v>0</v>
      </c>
      <c r="U287" s="1146">
        <f t="shared" si="166"/>
        <v>0</v>
      </c>
      <c r="V287" s="1146">
        <f t="shared" si="166"/>
        <v>0</v>
      </c>
      <c r="W287" s="1146">
        <f t="shared" si="166"/>
        <v>0</v>
      </c>
      <c r="X287" s="1146">
        <f t="shared" si="166"/>
        <v>0</v>
      </c>
      <c r="AG287" s="1146"/>
    </row>
    <row r="288" spans="1:36" s="1064" customFormat="1" ht="20.100000000000001" customHeight="1" thickBot="1" x14ac:dyDescent="0.25">
      <c r="B288" s="1136"/>
      <c r="C288" s="1095"/>
      <c r="D288" s="1146"/>
      <c r="E288" s="1146"/>
      <c r="F288" s="1146"/>
      <c r="G288" s="1146"/>
      <c r="H288" s="1146"/>
      <c r="I288" s="1146"/>
      <c r="J288" s="1146"/>
      <c r="K288" s="1146"/>
      <c r="L288" s="1146"/>
      <c r="M288" s="1146"/>
      <c r="N288" s="1146"/>
      <c r="O288" s="1146"/>
      <c r="P288" s="1146"/>
      <c r="Q288" s="1146"/>
      <c r="R288" s="1146"/>
      <c r="S288" s="1146"/>
      <c r="T288" s="1146"/>
      <c r="U288" s="1146"/>
      <c r="V288" s="1146"/>
      <c r="W288" s="1146"/>
      <c r="X288" s="1146"/>
      <c r="AG288" s="1146"/>
    </row>
    <row r="289" spans="1:36" s="1066" customFormat="1" ht="20.100000000000001" customHeight="1" thickBot="1" x14ac:dyDescent="0.3">
      <c r="A289" s="1064"/>
      <c r="B289" s="1158" t="s">
        <v>871</v>
      </c>
      <c r="C289" s="1193" t="s">
        <v>117</v>
      </c>
      <c r="D289" s="712">
        <v>2023</v>
      </c>
      <c r="E289" s="417">
        <f>D289+1</f>
        <v>2024</v>
      </c>
      <c r="F289" s="417">
        <f t="shared" ref="F289:X289" si="167">E289+1</f>
        <v>2025</v>
      </c>
      <c r="G289" s="417">
        <f t="shared" si="167"/>
        <v>2026</v>
      </c>
      <c r="H289" s="417">
        <f t="shared" si="167"/>
        <v>2027</v>
      </c>
      <c r="I289" s="417">
        <f t="shared" si="167"/>
        <v>2028</v>
      </c>
      <c r="J289" s="417">
        <f t="shared" si="167"/>
        <v>2029</v>
      </c>
      <c r="K289" s="417">
        <f t="shared" si="167"/>
        <v>2030</v>
      </c>
      <c r="L289" s="417">
        <f t="shared" si="167"/>
        <v>2031</v>
      </c>
      <c r="M289" s="417">
        <f t="shared" si="167"/>
        <v>2032</v>
      </c>
      <c r="N289" s="417">
        <f t="shared" si="167"/>
        <v>2033</v>
      </c>
      <c r="O289" s="417">
        <f t="shared" si="167"/>
        <v>2034</v>
      </c>
      <c r="P289" s="417">
        <f t="shared" si="167"/>
        <v>2035</v>
      </c>
      <c r="Q289" s="417">
        <f t="shared" si="167"/>
        <v>2036</v>
      </c>
      <c r="R289" s="417">
        <f t="shared" si="167"/>
        <v>2037</v>
      </c>
      <c r="S289" s="417">
        <f t="shared" si="167"/>
        <v>2038</v>
      </c>
      <c r="T289" s="417">
        <f t="shared" si="167"/>
        <v>2039</v>
      </c>
      <c r="U289" s="417">
        <f t="shared" si="167"/>
        <v>2040</v>
      </c>
      <c r="V289" s="417">
        <f t="shared" si="167"/>
        <v>2041</v>
      </c>
      <c r="W289" s="417">
        <f t="shared" si="167"/>
        <v>2042</v>
      </c>
      <c r="X289" s="713">
        <f t="shared" si="167"/>
        <v>2043</v>
      </c>
      <c r="Y289" s="1064"/>
      <c r="Z289" s="1064"/>
      <c r="AA289" s="1064"/>
      <c r="AB289" s="1064"/>
      <c r="AC289" s="1064"/>
      <c r="AD289" s="1064"/>
      <c r="AE289" s="1064"/>
      <c r="AF289" s="1064"/>
      <c r="AG289" s="1064"/>
      <c r="AH289" s="1064"/>
      <c r="AI289" s="1064"/>
      <c r="AJ289" s="1064"/>
    </row>
    <row r="290" spans="1:36" s="1066" customFormat="1" ht="20.100000000000001" customHeight="1" thickBot="1" x14ac:dyDescent="0.25">
      <c r="A290" s="1064"/>
      <c r="B290" s="1158" t="s">
        <v>385</v>
      </c>
      <c r="C290" s="1497" t="s">
        <v>60</v>
      </c>
      <c r="D290" s="1169">
        <f>SUM(D253:D256)*$F$272</f>
        <v>9153793.6361139845</v>
      </c>
      <c r="E290" s="1169">
        <f t="shared" ref="E290:X290" si="168">SUM(E253:E256)*$F$272</f>
        <v>9680252.3956357203</v>
      </c>
      <c r="F290" s="1169">
        <f t="shared" si="168"/>
        <v>1720756.8704177693</v>
      </c>
      <c r="G290" s="1169">
        <f t="shared" si="168"/>
        <v>1731520.3743250177</v>
      </c>
      <c r="H290" s="1169">
        <f t="shared" si="168"/>
        <v>1742368.5151271739</v>
      </c>
      <c r="I290" s="1169">
        <f t="shared" si="168"/>
        <v>1753301.9800811338</v>
      </c>
      <c r="J290" s="1169">
        <f t="shared" si="168"/>
        <v>1894943.4161123657</v>
      </c>
      <c r="K290" s="1169">
        <f t="shared" si="168"/>
        <v>1906885.8690980705</v>
      </c>
      <c r="L290" s="1169">
        <f t="shared" si="168"/>
        <v>1918921.854625639</v>
      </c>
      <c r="M290" s="1169">
        <f t="shared" si="168"/>
        <v>1931052.1287219045</v>
      </c>
      <c r="N290" s="1169">
        <f t="shared" si="168"/>
        <v>1943277.4535791248</v>
      </c>
      <c r="O290" s="1169">
        <f t="shared" si="168"/>
        <v>2205315.384019244</v>
      </c>
      <c r="P290" s="1169">
        <f t="shared" si="168"/>
        <v>2219320.1639640047</v>
      </c>
      <c r="Q290" s="1169">
        <f t="shared" si="168"/>
        <v>2233434.706156502</v>
      </c>
      <c r="R290" s="1169">
        <f t="shared" si="168"/>
        <v>2247659.8976755184</v>
      </c>
      <c r="S290" s="1169">
        <f t="shared" si="168"/>
        <v>2261996.6328325556</v>
      </c>
      <c r="T290" s="1169">
        <f t="shared" si="168"/>
        <v>2276445.8132311441</v>
      </c>
      <c r="U290" s="1169">
        <f t="shared" si="168"/>
        <v>2338255.3626689054</v>
      </c>
      <c r="V290" s="1169">
        <f t="shared" si="168"/>
        <v>2737203.9265770921</v>
      </c>
      <c r="W290" s="1169">
        <f t="shared" si="168"/>
        <v>2754759.6153702908</v>
      </c>
      <c r="X290" s="1170">
        <f t="shared" si="168"/>
        <v>2772453.4178907853</v>
      </c>
      <c r="Y290" s="1162">
        <f>SUM(D290:X290)</f>
        <v>59423919.414223939</v>
      </c>
      <c r="Z290" s="1064"/>
      <c r="AA290" s="1064"/>
      <c r="AB290" s="1064"/>
      <c r="AC290" s="1064"/>
      <c r="AD290" s="1064"/>
      <c r="AE290" s="1064"/>
      <c r="AF290" s="1064"/>
      <c r="AG290" s="1146"/>
      <c r="AH290" s="1064"/>
      <c r="AI290" s="1064"/>
      <c r="AJ290" s="1064"/>
    </row>
    <row r="291" spans="1:36" s="1066" customFormat="1" ht="15" x14ac:dyDescent="0.25">
      <c r="A291" s="1064"/>
      <c r="D291" s="1156"/>
      <c r="G291" s="1157"/>
      <c r="H291" s="1157"/>
      <c r="I291" s="1157"/>
      <c r="J291" s="1157"/>
      <c r="K291" s="1157"/>
      <c r="L291" s="1157"/>
      <c r="M291" s="1157"/>
      <c r="N291" s="1157"/>
      <c r="O291" s="1157"/>
      <c r="P291" s="1157"/>
      <c r="Q291" s="1157"/>
      <c r="R291" s="1157"/>
      <c r="S291" s="1157"/>
      <c r="T291" s="1157"/>
      <c r="U291" s="1157"/>
      <c r="V291" s="1157"/>
      <c r="W291" s="1157"/>
      <c r="X291" s="1157"/>
      <c r="Y291" s="1157"/>
      <c r="Z291" s="1157"/>
      <c r="AA291" s="1157"/>
    </row>
    <row r="292" spans="1:36" s="1117" customFormat="1" ht="31.5" customHeight="1" x14ac:dyDescent="0.25">
      <c r="A292" s="1114"/>
      <c r="B292" s="1116" t="s">
        <v>752</v>
      </c>
      <c r="C292" s="1116"/>
      <c r="D292" s="1116"/>
      <c r="E292" s="1116"/>
      <c r="F292" s="1116"/>
      <c r="G292" s="1116"/>
      <c r="H292" s="1116"/>
      <c r="I292" s="1116"/>
      <c r="J292" s="1116"/>
      <c r="K292" s="1116"/>
      <c r="L292" s="1116"/>
      <c r="M292" s="1116"/>
      <c r="N292" s="1116"/>
      <c r="O292" s="1116"/>
      <c r="P292" s="1116"/>
      <c r="Q292" s="1116"/>
      <c r="R292" s="1116"/>
      <c r="S292" s="1116"/>
      <c r="T292" s="1116"/>
      <c r="U292" s="1116"/>
      <c r="V292" s="1116"/>
      <c r="W292" s="1116"/>
      <c r="X292" s="1116"/>
    </row>
    <row r="293" spans="1:36" s="1117" customFormat="1" ht="20.100000000000001" customHeight="1" x14ac:dyDescent="0.25">
      <c r="A293" s="1114"/>
    </row>
    <row r="294" spans="1:36" s="1117" customFormat="1" ht="33" customHeight="1" thickBot="1" x14ac:dyDescent="0.3">
      <c r="A294" s="1114"/>
      <c r="D294" s="1843" t="s">
        <v>753</v>
      </c>
      <c r="E294" s="1843"/>
      <c r="F294" s="1843"/>
      <c r="G294" s="1843"/>
      <c r="H294" s="1843"/>
      <c r="I294" s="1843"/>
      <c r="J294" s="1843"/>
      <c r="K294" s="1843"/>
      <c r="L294" s="1843"/>
      <c r="M294" s="1843"/>
      <c r="N294" s="1843"/>
      <c r="O294" s="1843"/>
      <c r="P294" s="1843"/>
      <c r="Q294" s="1843"/>
      <c r="R294" s="1843"/>
      <c r="S294" s="1843"/>
      <c r="T294" s="1843"/>
      <c r="U294" s="1843"/>
      <c r="V294" s="1843"/>
      <c r="W294" s="1843"/>
      <c r="X294" s="1843"/>
    </row>
    <row r="295" spans="1:36" s="1117" customFormat="1" ht="20.100000000000001" customHeight="1" thickBot="1" x14ac:dyDescent="0.3">
      <c r="A295" s="1114"/>
      <c r="B295" s="1094"/>
      <c r="C295" s="1290" t="s">
        <v>117</v>
      </c>
      <c r="D295" s="719">
        <v>2023</v>
      </c>
      <c r="E295" s="717">
        <f>D295+1</f>
        <v>2024</v>
      </c>
      <c r="F295" s="717">
        <f t="shared" ref="F295:X295" si="169">E295+1</f>
        <v>2025</v>
      </c>
      <c r="G295" s="717">
        <f t="shared" si="169"/>
        <v>2026</v>
      </c>
      <c r="H295" s="717">
        <f t="shared" si="169"/>
        <v>2027</v>
      </c>
      <c r="I295" s="717">
        <f t="shared" si="169"/>
        <v>2028</v>
      </c>
      <c r="J295" s="717">
        <f t="shared" si="169"/>
        <v>2029</v>
      </c>
      <c r="K295" s="717">
        <f t="shared" si="169"/>
        <v>2030</v>
      </c>
      <c r="L295" s="717">
        <f t="shared" si="169"/>
        <v>2031</v>
      </c>
      <c r="M295" s="717">
        <f t="shared" si="169"/>
        <v>2032</v>
      </c>
      <c r="N295" s="717">
        <f t="shared" si="169"/>
        <v>2033</v>
      </c>
      <c r="O295" s="717">
        <f t="shared" si="169"/>
        <v>2034</v>
      </c>
      <c r="P295" s="717">
        <f t="shared" si="169"/>
        <v>2035</v>
      </c>
      <c r="Q295" s="717">
        <f t="shared" si="169"/>
        <v>2036</v>
      </c>
      <c r="R295" s="717">
        <f t="shared" si="169"/>
        <v>2037</v>
      </c>
      <c r="S295" s="717">
        <f t="shared" si="169"/>
        <v>2038</v>
      </c>
      <c r="T295" s="717">
        <f t="shared" si="169"/>
        <v>2039</v>
      </c>
      <c r="U295" s="717">
        <f t="shared" si="169"/>
        <v>2040</v>
      </c>
      <c r="V295" s="717">
        <f t="shared" si="169"/>
        <v>2041</v>
      </c>
      <c r="W295" s="717">
        <f t="shared" si="169"/>
        <v>2042</v>
      </c>
      <c r="X295" s="718">
        <f t="shared" si="169"/>
        <v>2043</v>
      </c>
    </row>
    <row r="296" spans="1:36" s="1117" customFormat="1" ht="20.100000000000001" customHeight="1" x14ac:dyDescent="0.25">
      <c r="A296" s="1114"/>
      <c r="B296" s="1225" t="s">
        <v>287</v>
      </c>
      <c r="C296" s="1291" t="s">
        <v>754</v>
      </c>
      <c r="D296" s="1658">
        <f>VLOOKUP(MROUND(D24,5),'EmissRates MOVES2014'!$C$69:$H$84,4)</f>
        <v>7.5059711503961714E-3</v>
      </c>
      <c r="E296" s="1292">
        <f>VLOOKUP(MROUND(E24,5),'EmissRates MOVES2014'!$C$69:$H$84,4)</f>
        <v>7.5059711503961714E-3</v>
      </c>
      <c r="F296" s="1293">
        <f>VLOOKUP(MROUND(F24,5),'EmissRates MOVES2014'!$Z$69:$AE$84,4)</f>
        <v>1.6222269970653696E-3</v>
      </c>
      <c r="G296" s="1293">
        <f>VLOOKUP(MROUND(G24,5),'EmissRates MOVES2014'!$Z$69:$AE$84,4)</f>
        <v>1.6222269970653696E-3</v>
      </c>
      <c r="H296" s="1293">
        <f>VLOOKUP(MROUND(H24,5),'EmissRates MOVES2014'!$Z$69:$AE$84,4)</f>
        <v>1.6222269970653696E-3</v>
      </c>
      <c r="I296" s="1293">
        <f>VLOOKUP(MROUND(I24,5),'EmissRates MOVES2014'!$Z$69:$AE$84,4)</f>
        <v>1.6222269970653696E-3</v>
      </c>
      <c r="J296" s="1293">
        <f>VLOOKUP(MROUND(J24,5),'EmissRates MOVES2014'!$Z$69:$AE$84,4)</f>
        <v>1.6524333637463727E-3</v>
      </c>
      <c r="K296" s="1293">
        <f>VLOOKUP(MROUND(K24,5),'EmissRates MOVES2014'!$Z$69:$AE$84,4)</f>
        <v>1.6524333637463727E-3</v>
      </c>
      <c r="L296" s="1293">
        <f>VLOOKUP(MROUND(L24,5),'EmissRates MOVES2014'!$Z$69:$AE$84,4)</f>
        <v>1.6524333637463727E-3</v>
      </c>
      <c r="M296" s="1293">
        <f>VLOOKUP(MROUND(M24,5),'EmissRates MOVES2014'!$Z$69:$AE$84,4)</f>
        <v>1.6524333637463727E-3</v>
      </c>
      <c r="N296" s="1293">
        <f>VLOOKUP(MROUND(N24,5),'EmissRates MOVES2014'!$Z$69:$AE$84,4)</f>
        <v>1.6524333637463727E-3</v>
      </c>
      <c r="O296" s="1293">
        <f>VLOOKUP(MROUND(O24,5),'EmissRates MOVES2014'!$Z$69:$AE$84,4)</f>
        <v>1.771610864582432E-3</v>
      </c>
      <c r="P296" s="1293">
        <f>VLOOKUP(MROUND(P24,5),'EmissRates MOVES2014'!$Z$69:$AE$84,4)</f>
        <v>1.771610864582432E-3</v>
      </c>
      <c r="Q296" s="1293">
        <f>VLOOKUP(MROUND(Q24,5),'EmissRates MOVES2014'!$Z$69:$AE$84,4)</f>
        <v>1.771610864582432E-3</v>
      </c>
      <c r="R296" s="1293">
        <f>VLOOKUP(MROUND(R24,5),'EmissRates MOVES2014'!$Z$69:$AE$84,4)</f>
        <v>1.771610864582432E-3</v>
      </c>
      <c r="S296" s="1293">
        <f>VLOOKUP(MROUND(S24,5),'EmissRates MOVES2014'!$Z$69:$AE$84,4)</f>
        <v>1.771610864582432E-3</v>
      </c>
      <c r="T296" s="1293">
        <f>VLOOKUP(MROUND(T24,5),'EmissRates MOVES2014'!$Z$69:$AE$84,4)</f>
        <v>1.771610864582432E-3</v>
      </c>
      <c r="U296" s="1293">
        <f>VLOOKUP(MROUND(U24,5),'EmissRates MOVES2014'!$Z$69:$AE$84,4)</f>
        <v>1.771610864582432E-3</v>
      </c>
      <c r="V296" s="1293">
        <f>VLOOKUP(MROUND(V24,5),'EmissRates MOVES2014'!$Z$69:$AE$84,4)</f>
        <v>1.9768540832454558E-3</v>
      </c>
      <c r="W296" s="1293">
        <f>VLOOKUP(MROUND(W24,5),'EmissRates MOVES2014'!$Z$69:$AE$84,4)</f>
        <v>1.9768540832454558E-3</v>
      </c>
      <c r="X296" s="1294">
        <f>VLOOKUP(MROUND(X24,5),'EmissRates MOVES2014'!$Z$69:$AE$84,4)</f>
        <v>1.9768540832454558E-3</v>
      </c>
    </row>
    <row r="297" spans="1:36" s="1117" customFormat="1" ht="20.100000000000001" customHeight="1" x14ac:dyDescent="0.25">
      <c r="A297" s="1114"/>
      <c r="B297" s="1225" t="s">
        <v>288</v>
      </c>
      <c r="C297" s="1217" t="s">
        <v>754</v>
      </c>
      <c r="D297" s="1659">
        <f>VLOOKUP(MROUND(D25,5),'EmissRates MOVES2014'!$C$69:$H$84,4)</f>
        <v>7.5059711503961714E-3</v>
      </c>
      <c r="E297" s="1295">
        <f>VLOOKUP(MROUND(E25,5),'EmissRates MOVES2014'!$C$69:$H$84,4)</f>
        <v>7.5059711503961714E-3</v>
      </c>
      <c r="F297" s="1296">
        <f>VLOOKUP(MROUND(F25,5),'EmissRates MOVES2014'!$Z$69:$AE$84,4)</f>
        <v>1.6222269970653696E-3</v>
      </c>
      <c r="G297" s="1296">
        <f>VLOOKUP(MROUND(G25,5),'EmissRates MOVES2014'!$Z$69:$AE$84,4)</f>
        <v>1.6222269970653696E-3</v>
      </c>
      <c r="H297" s="1296">
        <f>VLOOKUP(MROUND(H25,5),'EmissRates MOVES2014'!$Z$69:$AE$84,4)</f>
        <v>1.6222269970653696E-3</v>
      </c>
      <c r="I297" s="1296">
        <f>VLOOKUP(MROUND(I25,5),'EmissRates MOVES2014'!$Z$69:$AE$84,4)</f>
        <v>1.6222269970653696E-3</v>
      </c>
      <c r="J297" s="1296">
        <f>VLOOKUP(MROUND(J25,5),'EmissRates MOVES2014'!$Z$69:$AE$84,4)</f>
        <v>1.6524333637463727E-3</v>
      </c>
      <c r="K297" s="1296">
        <f>VLOOKUP(MROUND(K25,5),'EmissRates MOVES2014'!$Z$69:$AE$84,4)</f>
        <v>1.6524333637463727E-3</v>
      </c>
      <c r="L297" s="1296">
        <f>VLOOKUP(MROUND(L25,5),'EmissRates MOVES2014'!$Z$69:$AE$84,4)</f>
        <v>1.6524333637463727E-3</v>
      </c>
      <c r="M297" s="1296">
        <f>VLOOKUP(MROUND(M25,5),'EmissRates MOVES2014'!$Z$69:$AE$84,4)</f>
        <v>1.6524333637463727E-3</v>
      </c>
      <c r="N297" s="1296">
        <f>VLOOKUP(MROUND(N25,5),'EmissRates MOVES2014'!$Z$69:$AE$84,4)</f>
        <v>1.6524333637463727E-3</v>
      </c>
      <c r="O297" s="1296">
        <f>VLOOKUP(MROUND(O25,5),'EmissRates MOVES2014'!$Z$69:$AE$84,4)</f>
        <v>1.771610864582432E-3</v>
      </c>
      <c r="P297" s="1296">
        <f>VLOOKUP(MROUND(P25,5),'EmissRates MOVES2014'!$Z$69:$AE$84,4)</f>
        <v>1.771610864582432E-3</v>
      </c>
      <c r="Q297" s="1296">
        <f>VLOOKUP(MROUND(Q25,5),'EmissRates MOVES2014'!$Z$69:$AE$84,4)</f>
        <v>1.771610864582432E-3</v>
      </c>
      <c r="R297" s="1296">
        <f>VLOOKUP(MROUND(R25,5),'EmissRates MOVES2014'!$Z$69:$AE$84,4)</f>
        <v>1.771610864582432E-3</v>
      </c>
      <c r="S297" s="1296">
        <f>VLOOKUP(MROUND(S25,5),'EmissRates MOVES2014'!$Z$69:$AE$84,4)</f>
        <v>1.771610864582432E-3</v>
      </c>
      <c r="T297" s="1296">
        <f>VLOOKUP(MROUND(T25,5),'EmissRates MOVES2014'!$Z$69:$AE$84,4)</f>
        <v>1.771610864582432E-3</v>
      </c>
      <c r="U297" s="1296">
        <f>VLOOKUP(MROUND(U25,5),'EmissRates MOVES2014'!$Z$69:$AE$84,4)</f>
        <v>1.771610864582432E-3</v>
      </c>
      <c r="V297" s="1296">
        <f>VLOOKUP(MROUND(V25,5),'EmissRates MOVES2014'!$Z$69:$AE$84,4)</f>
        <v>1.9768540832454558E-3</v>
      </c>
      <c r="W297" s="1296">
        <f>VLOOKUP(MROUND(W25,5),'EmissRates MOVES2014'!$Z$69:$AE$84,4)</f>
        <v>1.9768540832454558E-3</v>
      </c>
      <c r="X297" s="1297">
        <f>VLOOKUP(MROUND(X25,5),'EmissRates MOVES2014'!$Z$69:$AE$84,4)</f>
        <v>1.9768540832454558E-3</v>
      </c>
    </row>
    <row r="298" spans="1:36" s="1117" customFormat="1" ht="20.100000000000001" customHeight="1" x14ac:dyDescent="0.25">
      <c r="A298" s="1114"/>
      <c r="B298" s="1225" t="s">
        <v>289</v>
      </c>
      <c r="C298" s="1217" t="s">
        <v>754</v>
      </c>
      <c r="D298" s="1659">
        <f>VLOOKUP(MROUND(D26,5),'EmissRates MOVES2014'!$C$69:$H$84,4)</f>
        <v>7.5059711503961714E-3</v>
      </c>
      <c r="E298" s="1295">
        <f>VLOOKUP(MROUND(E26,5),'EmissRates MOVES2014'!$C$69:$H$84,4)</f>
        <v>7.5059711503961714E-3</v>
      </c>
      <c r="F298" s="1296">
        <f>VLOOKUP(MROUND(F26,5),'EmissRates MOVES2014'!$Z$69:$AE$84,4)</f>
        <v>1.6222269970653696E-3</v>
      </c>
      <c r="G298" s="1296">
        <f>VLOOKUP(MROUND(G26,5),'EmissRates MOVES2014'!$Z$69:$AE$84,4)</f>
        <v>1.6222269970653696E-3</v>
      </c>
      <c r="H298" s="1296">
        <f>VLOOKUP(MROUND(H26,5),'EmissRates MOVES2014'!$Z$69:$AE$84,4)</f>
        <v>1.6222269970653696E-3</v>
      </c>
      <c r="I298" s="1296">
        <f>VLOOKUP(MROUND(I26,5),'EmissRates MOVES2014'!$Z$69:$AE$84,4)</f>
        <v>1.6222269970653696E-3</v>
      </c>
      <c r="J298" s="1296">
        <f>VLOOKUP(MROUND(J26,5),'EmissRates MOVES2014'!$Z$69:$AE$84,4)</f>
        <v>1.6524333637463727E-3</v>
      </c>
      <c r="K298" s="1296">
        <f>VLOOKUP(MROUND(K26,5),'EmissRates MOVES2014'!$Z$69:$AE$84,4)</f>
        <v>1.6524333637463727E-3</v>
      </c>
      <c r="L298" s="1296">
        <f>VLOOKUP(MROUND(L26,5),'EmissRates MOVES2014'!$Z$69:$AE$84,4)</f>
        <v>1.6524333637463727E-3</v>
      </c>
      <c r="M298" s="1296">
        <f>VLOOKUP(MROUND(M26,5),'EmissRates MOVES2014'!$Z$69:$AE$84,4)</f>
        <v>1.6524333637463727E-3</v>
      </c>
      <c r="N298" s="1296">
        <f>VLOOKUP(MROUND(N26,5),'EmissRates MOVES2014'!$Z$69:$AE$84,4)</f>
        <v>1.6524333637463727E-3</v>
      </c>
      <c r="O298" s="1296">
        <f>VLOOKUP(MROUND(O26,5),'EmissRates MOVES2014'!$Z$69:$AE$84,4)</f>
        <v>1.771610864582432E-3</v>
      </c>
      <c r="P298" s="1296">
        <f>VLOOKUP(MROUND(P26,5),'EmissRates MOVES2014'!$Z$69:$AE$84,4)</f>
        <v>1.771610864582432E-3</v>
      </c>
      <c r="Q298" s="1296">
        <f>VLOOKUP(MROUND(Q26,5),'EmissRates MOVES2014'!$Z$69:$AE$84,4)</f>
        <v>1.771610864582432E-3</v>
      </c>
      <c r="R298" s="1296">
        <f>VLOOKUP(MROUND(R26,5),'EmissRates MOVES2014'!$Z$69:$AE$84,4)</f>
        <v>1.771610864582432E-3</v>
      </c>
      <c r="S298" s="1296">
        <f>VLOOKUP(MROUND(S26,5),'EmissRates MOVES2014'!$Z$69:$AE$84,4)</f>
        <v>1.771610864582432E-3</v>
      </c>
      <c r="T298" s="1296">
        <f>VLOOKUP(MROUND(T26,5),'EmissRates MOVES2014'!$Z$69:$AE$84,4)</f>
        <v>1.771610864582432E-3</v>
      </c>
      <c r="U298" s="1296">
        <f>VLOOKUP(MROUND(U26,5),'EmissRates MOVES2014'!$Z$69:$AE$84,4)</f>
        <v>1.771610864582432E-3</v>
      </c>
      <c r="V298" s="1296">
        <f>VLOOKUP(MROUND(V26,5),'EmissRates MOVES2014'!$Z$69:$AE$84,4)</f>
        <v>1.9768540832454558E-3</v>
      </c>
      <c r="W298" s="1296">
        <f>VLOOKUP(MROUND(W26,5),'EmissRates MOVES2014'!$Z$69:$AE$84,4)</f>
        <v>1.9768540832454558E-3</v>
      </c>
      <c r="X298" s="1297">
        <f>VLOOKUP(MROUND(X26,5),'EmissRates MOVES2014'!$Z$69:$AE$84,4)</f>
        <v>1.9768540832454558E-3</v>
      </c>
    </row>
    <row r="299" spans="1:36" s="1117" customFormat="1" ht="20.100000000000001" customHeight="1" thickBot="1" x14ac:dyDescent="0.3">
      <c r="A299" s="1114"/>
      <c r="B299" s="1228" t="s">
        <v>140</v>
      </c>
      <c r="C299" s="1220" t="s">
        <v>754</v>
      </c>
      <c r="D299" s="1660">
        <f>VLOOKUP(MROUND(D27,5),'EmissRates MOVES2014'!$C$69:$U$84,19)</f>
        <v>1.53982088891174E-2</v>
      </c>
      <c r="E299" s="1298">
        <f>VLOOKUP(MROUND(E27,5),'EmissRates MOVES2014'!$C$69:$U$84,19)</f>
        <v>1.5660842134107678E-2</v>
      </c>
      <c r="F299" s="1299">
        <f>VLOOKUP(MROUND(F27,5),'EmissRates MOVES2014'!$Z$69:$AR$84,19)</f>
        <v>1.2575775426446041E-2</v>
      </c>
      <c r="G299" s="1299">
        <f>VLOOKUP(MROUND(G27,5),'EmissRates MOVES2014'!$Z$69:$AR$84,19)</f>
        <v>1.2575775426446041E-2</v>
      </c>
      <c r="H299" s="1299">
        <f>VLOOKUP(MROUND(H27,5),'EmissRates MOVES2014'!$Z$69:$AR$84,19)</f>
        <v>1.2575775426446041E-2</v>
      </c>
      <c r="I299" s="1299">
        <f>VLOOKUP(MROUND(I27,5),'EmissRates MOVES2014'!$Z$69:$AR$84,19)</f>
        <v>1.2575775426446041E-2</v>
      </c>
      <c r="J299" s="1299">
        <f>VLOOKUP(MROUND(J27,5),'EmissRates MOVES2014'!$Z$69:$AR$84,19)</f>
        <v>1.4746416825121554E-2</v>
      </c>
      <c r="K299" s="1299">
        <f>VLOOKUP(MROUND(K27,5),'EmissRates MOVES2014'!$Z$69:$AR$84,19)</f>
        <v>1.4746416825121554E-2</v>
      </c>
      <c r="L299" s="1299">
        <f>VLOOKUP(MROUND(L27,5),'EmissRates MOVES2014'!$Z$69:$AR$84,19)</f>
        <v>1.4746416825121554E-2</v>
      </c>
      <c r="M299" s="1299">
        <f>VLOOKUP(MROUND(M27,5),'EmissRates MOVES2014'!$Z$69:$AR$84,19)</f>
        <v>1.4746416825121554E-2</v>
      </c>
      <c r="N299" s="1299">
        <f>VLOOKUP(MROUND(N27,5),'EmissRates MOVES2014'!$Z$69:$AR$84,19)</f>
        <v>1.4746416825121554E-2</v>
      </c>
      <c r="O299" s="1299">
        <f>VLOOKUP(MROUND(O27,5),'EmissRates MOVES2014'!$Z$69:$AR$84,19)</f>
        <v>1.4991167793538852E-2</v>
      </c>
      <c r="P299" s="1299">
        <f>VLOOKUP(MROUND(P27,5),'EmissRates MOVES2014'!$Z$69:$AR$84,19)</f>
        <v>1.4991167793538852E-2</v>
      </c>
      <c r="Q299" s="1299">
        <f>VLOOKUP(MROUND(Q27,5),'EmissRates MOVES2014'!$Z$69:$AR$84,19)</f>
        <v>1.4991167793538852E-2</v>
      </c>
      <c r="R299" s="1299">
        <f>VLOOKUP(MROUND(R27,5),'EmissRates MOVES2014'!$Z$69:$AR$84,19)</f>
        <v>1.4991167793538852E-2</v>
      </c>
      <c r="S299" s="1299">
        <f>VLOOKUP(MROUND(S27,5),'EmissRates MOVES2014'!$Z$69:$AR$84,19)</f>
        <v>1.4991167793538852E-2</v>
      </c>
      <c r="T299" s="1299">
        <f>VLOOKUP(MROUND(T27,5),'EmissRates MOVES2014'!$Z$69:$AR$84,19)</f>
        <v>1.4991167793538852E-2</v>
      </c>
      <c r="U299" s="1299">
        <f>VLOOKUP(MROUND(U27,5),'EmissRates MOVES2014'!$Z$69:$AR$84,19)</f>
        <v>1.6035465298014265E-2</v>
      </c>
      <c r="V299" s="1299">
        <f>VLOOKUP(MROUND(V27,5),'EmissRates MOVES2014'!$Z$69:$AR$84,19)</f>
        <v>1.6035465298014265E-2</v>
      </c>
      <c r="W299" s="1299">
        <f>VLOOKUP(MROUND(W27,5),'EmissRates MOVES2014'!$Z$69:$AR$84,19)</f>
        <v>1.6035465298014265E-2</v>
      </c>
      <c r="X299" s="1300">
        <f>VLOOKUP(MROUND(X27,5),'EmissRates MOVES2014'!$Z$69:$AR$84,19)</f>
        <v>1.6035465298014265E-2</v>
      </c>
    </row>
    <row r="300" spans="1:36" s="1117" customFormat="1" ht="20.100000000000001" customHeight="1" x14ac:dyDescent="0.25">
      <c r="A300" s="1114"/>
      <c r="B300" s="1090"/>
    </row>
    <row r="301" spans="1:36" s="1117" customFormat="1" ht="28.5" customHeight="1" thickBot="1" x14ac:dyDescent="0.3">
      <c r="A301" s="1114"/>
      <c r="B301" s="1090"/>
      <c r="D301" s="1843" t="s">
        <v>753</v>
      </c>
      <c r="E301" s="1843"/>
      <c r="F301" s="1843"/>
      <c r="G301" s="1843"/>
      <c r="H301" s="1843"/>
      <c r="I301" s="1843"/>
      <c r="J301" s="1843"/>
      <c r="K301" s="1843"/>
      <c r="L301" s="1843"/>
      <c r="M301" s="1843"/>
      <c r="N301" s="1843"/>
      <c r="O301" s="1843"/>
      <c r="P301" s="1843"/>
      <c r="Q301" s="1843"/>
      <c r="R301" s="1843"/>
      <c r="S301" s="1843"/>
      <c r="T301" s="1843"/>
      <c r="U301" s="1843"/>
      <c r="V301" s="1843"/>
      <c r="W301" s="1843"/>
      <c r="X301" s="1843"/>
    </row>
    <row r="302" spans="1:36" s="1117" customFormat="1" ht="20.100000000000001" customHeight="1" thickBot="1" x14ac:dyDescent="0.3">
      <c r="A302" s="1114"/>
      <c r="B302" s="1094"/>
      <c r="C302" s="1210" t="s">
        <v>117</v>
      </c>
      <c r="D302" s="719">
        <v>2023</v>
      </c>
      <c r="E302" s="717">
        <f>D302+1</f>
        <v>2024</v>
      </c>
      <c r="F302" s="717">
        <f t="shared" ref="F302:X302" si="170">E302+1</f>
        <v>2025</v>
      </c>
      <c r="G302" s="717">
        <f t="shared" si="170"/>
        <v>2026</v>
      </c>
      <c r="H302" s="717">
        <f t="shared" si="170"/>
        <v>2027</v>
      </c>
      <c r="I302" s="717">
        <f t="shared" si="170"/>
        <v>2028</v>
      </c>
      <c r="J302" s="717">
        <f t="shared" si="170"/>
        <v>2029</v>
      </c>
      <c r="K302" s="717">
        <f t="shared" si="170"/>
        <v>2030</v>
      </c>
      <c r="L302" s="717">
        <f t="shared" si="170"/>
        <v>2031</v>
      </c>
      <c r="M302" s="717">
        <f t="shared" si="170"/>
        <v>2032</v>
      </c>
      <c r="N302" s="717">
        <f t="shared" si="170"/>
        <v>2033</v>
      </c>
      <c r="O302" s="717">
        <f t="shared" si="170"/>
        <v>2034</v>
      </c>
      <c r="P302" s="717">
        <f t="shared" si="170"/>
        <v>2035</v>
      </c>
      <c r="Q302" s="717">
        <f t="shared" si="170"/>
        <v>2036</v>
      </c>
      <c r="R302" s="717">
        <f t="shared" si="170"/>
        <v>2037</v>
      </c>
      <c r="S302" s="717">
        <f t="shared" si="170"/>
        <v>2038</v>
      </c>
      <c r="T302" s="717">
        <f t="shared" si="170"/>
        <v>2039</v>
      </c>
      <c r="U302" s="717">
        <f t="shared" si="170"/>
        <v>2040</v>
      </c>
      <c r="V302" s="717">
        <f t="shared" si="170"/>
        <v>2041</v>
      </c>
      <c r="W302" s="717">
        <f t="shared" si="170"/>
        <v>2042</v>
      </c>
      <c r="X302" s="718">
        <f t="shared" si="170"/>
        <v>2043</v>
      </c>
    </row>
    <row r="303" spans="1:36" s="1117" customFormat="1" ht="20.100000000000001" customHeight="1" x14ac:dyDescent="0.25">
      <c r="A303" s="1114"/>
      <c r="B303" s="1225" t="s">
        <v>287</v>
      </c>
      <c r="C303" s="1291" t="s">
        <v>754</v>
      </c>
      <c r="D303" s="1658">
        <f>VLOOKUP(MROUND(D31,5),'EmissRates MOVES2014'!$C$69:$H$84,4)</f>
        <v>7.3989752118087792E-3</v>
      </c>
      <c r="E303" s="1292">
        <f>VLOOKUP(MROUND(E31,5),'EmissRates MOVES2014'!$C$69:$H$84,4)</f>
        <v>7.3989752118087792E-3</v>
      </c>
      <c r="F303" s="1293">
        <f>VLOOKUP(MROUND(F31,5),'EmissRates MOVES2014'!$Z$69:$AE$84,4)</f>
        <v>1.5772286468070419E-3</v>
      </c>
      <c r="G303" s="1293">
        <f>VLOOKUP(MROUND(G31,5),'EmissRates MOVES2014'!$Z$69:$AE$84,4)</f>
        <v>1.5772286468070419E-3</v>
      </c>
      <c r="H303" s="1293">
        <f>VLOOKUP(MROUND(H31,5),'EmissRates MOVES2014'!$Z$69:$AE$84,4)</f>
        <v>1.5772286468070419E-3</v>
      </c>
      <c r="I303" s="1293">
        <f>VLOOKUP(MROUND(I31,5),'EmissRates MOVES2014'!$Z$69:$AE$84,4)</f>
        <v>1.5992676374399666E-3</v>
      </c>
      <c r="J303" s="1293">
        <f>VLOOKUP(MROUND(J31,5),'EmissRates MOVES2014'!$Z$69:$AE$84,4)</f>
        <v>1.5992676374399666E-3</v>
      </c>
      <c r="K303" s="1293">
        <f>VLOOKUP(MROUND(K31,5),'EmissRates MOVES2014'!$Z$69:$AE$84,4)</f>
        <v>1.5992676374399666E-3</v>
      </c>
      <c r="L303" s="1293">
        <f>VLOOKUP(MROUND(L31,5),'EmissRates MOVES2014'!$Z$69:$AE$84,4)</f>
        <v>1.5992676374399666E-3</v>
      </c>
      <c r="M303" s="1293">
        <f>VLOOKUP(MROUND(M31,5),'EmissRates MOVES2014'!$Z$69:$AE$84,4)</f>
        <v>1.5992676374399666E-3</v>
      </c>
      <c r="N303" s="1293">
        <f>VLOOKUP(MROUND(N31,5),'EmissRates MOVES2014'!$Z$69:$AE$84,4)</f>
        <v>1.5992676374399666E-3</v>
      </c>
      <c r="O303" s="1293">
        <f>VLOOKUP(MROUND(O31,5),'EmissRates MOVES2014'!$Z$69:$AE$84,4)</f>
        <v>1.5992676374399666E-3</v>
      </c>
      <c r="P303" s="1293">
        <f>VLOOKUP(MROUND(P31,5),'EmissRates MOVES2014'!$Z$69:$AE$84,4)</f>
        <v>1.5992676374399666E-3</v>
      </c>
      <c r="Q303" s="1293">
        <f>VLOOKUP(MROUND(Q31,5),'EmissRates MOVES2014'!$Z$69:$AE$84,4)</f>
        <v>1.5992676374399666E-3</v>
      </c>
      <c r="R303" s="1293">
        <f>VLOOKUP(MROUND(R31,5),'EmissRates MOVES2014'!$Z$69:$AE$84,4)</f>
        <v>1.6222269970653696E-3</v>
      </c>
      <c r="S303" s="1293">
        <f>VLOOKUP(MROUND(S31,5),'EmissRates MOVES2014'!$Z$69:$AE$84,4)</f>
        <v>1.6222269970653696E-3</v>
      </c>
      <c r="T303" s="1293">
        <f>VLOOKUP(MROUND(T31,5),'EmissRates MOVES2014'!$Z$69:$AE$84,4)</f>
        <v>1.6222269970653696E-3</v>
      </c>
      <c r="U303" s="1293">
        <f>VLOOKUP(MROUND(U31,5),'EmissRates MOVES2014'!$Z$69:$AE$84,4)</f>
        <v>1.6222269970653696E-3</v>
      </c>
      <c r="V303" s="1293">
        <f>VLOOKUP(MROUND(V31,5),'EmissRates MOVES2014'!$Z$69:$AE$84,4)</f>
        <v>1.6222269970653696E-3</v>
      </c>
      <c r="W303" s="1293">
        <f>VLOOKUP(MROUND(W31,5),'EmissRates MOVES2014'!$Z$69:$AE$84,4)</f>
        <v>1.6222269970653696E-3</v>
      </c>
      <c r="X303" s="1294">
        <f>VLOOKUP(MROUND(X31,5),'EmissRates MOVES2014'!$Z$69:$AE$84,4)</f>
        <v>1.6222269970653696E-3</v>
      </c>
    </row>
    <row r="304" spans="1:36" s="1117" customFormat="1" ht="20.100000000000001" customHeight="1" x14ac:dyDescent="0.25">
      <c r="A304" s="1114"/>
      <c r="B304" s="1225" t="s">
        <v>288</v>
      </c>
      <c r="C304" s="1217" t="s">
        <v>754</v>
      </c>
      <c r="D304" s="1659">
        <f>VLOOKUP(MROUND(D32,5),'EmissRates MOVES2014'!$C$69:$H$84,4)</f>
        <v>7.3989752118087792E-3</v>
      </c>
      <c r="E304" s="1295">
        <f>VLOOKUP(MROUND(E32,5),'EmissRates MOVES2014'!$C$69:$H$84,4)</f>
        <v>7.3989752118087792E-3</v>
      </c>
      <c r="F304" s="1296">
        <f>VLOOKUP(MROUND(F32,5),'EmissRates MOVES2014'!$Z$69:$AE$84,4)</f>
        <v>1.5772286468070419E-3</v>
      </c>
      <c r="G304" s="1296">
        <f>VLOOKUP(MROUND(G32,5),'EmissRates MOVES2014'!$Z$69:$AE$84,4)</f>
        <v>1.5772286468070419E-3</v>
      </c>
      <c r="H304" s="1296">
        <f>VLOOKUP(MROUND(H32,5),'EmissRates MOVES2014'!$Z$69:$AE$84,4)</f>
        <v>1.5772286468070419E-3</v>
      </c>
      <c r="I304" s="1296">
        <f>VLOOKUP(MROUND(I32,5),'EmissRates MOVES2014'!$Z$69:$AE$84,4)</f>
        <v>1.5992676374399666E-3</v>
      </c>
      <c r="J304" s="1296">
        <f>VLOOKUP(MROUND(J32,5),'EmissRates MOVES2014'!$Z$69:$AE$84,4)</f>
        <v>1.5992676374399666E-3</v>
      </c>
      <c r="K304" s="1296">
        <f>VLOOKUP(MROUND(K32,5),'EmissRates MOVES2014'!$Z$69:$AE$84,4)</f>
        <v>1.5992676374399666E-3</v>
      </c>
      <c r="L304" s="1296">
        <f>VLOOKUP(MROUND(L32,5),'EmissRates MOVES2014'!$Z$69:$AE$84,4)</f>
        <v>1.5992676374399666E-3</v>
      </c>
      <c r="M304" s="1296">
        <f>VLOOKUP(MROUND(M32,5),'EmissRates MOVES2014'!$Z$69:$AE$84,4)</f>
        <v>1.5992676374399666E-3</v>
      </c>
      <c r="N304" s="1296">
        <f>VLOOKUP(MROUND(N32,5),'EmissRates MOVES2014'!$Z$69:$AE$84,4)</f>
        <v>1.5992676374399666E-3</v>
      </c>
      <c r="O304" s="1296">
        <f>VLOOKUP(MROUND(O32,5),'EmissRates MOVES2014'!$Z$69:$AE$84,4)</f>
        <v>1.5992676374399666E-3</v>
      </c>
      <c r="P304" s="1296">
        <f>VLOOKUP(MROUND(P32,5),'EmissRates MOVES2014'!$Z$69:$AE$84,4)</f>
        <v>1.5992676374399666E-3</v>
      </c>
      <c r="Q304" s="1296">
        <f>VLOOKUP(MROUND(Q32,5),'EmissRates MOVES2014'!$Z$69:$AE$84,4)</f>
        <v>1.5992676374399666E-3</v>
      </c>
      <c r="R304" s="1296">
        <f>VLOOKUP(MROUND(R32,5),'EmissRates MOVES2014'!$Z$69:$AE$84,4)</f>
        <v>1.6222269970653696E-3</v>
      </c>
      <c r="S304" s="1296">
        <f>VLOOKUP(MROUND(S32,5),'EmissRates MOVES2014'!$Z$69:$AE$84,4)</f>
        <v>1.6222269970653696E-3</v>
      </c>
      <c r="T304" s="1296">
        <f>VLOOKUP(MROUND(T32,5),'EmissRates MOVES2014'!$Z$69:$AE$84,4)</f>
        <v>1.6222269970653696E-3</v>
      </c>
      <c r="U304" s="1296">
        <f>VLOOKUP(MROUND(U32,5),'EmissRates MOVES2014'!$Z$69:$AE$84,4)</f>
        <v>1.6222269970653696E-3</v>
      </c>
      <c r="V304" s="1296">
        <f>VLOOKUP(MROUND(V32,5),'EmissRates MOVES2014'!$Z$69:$AE$84,4)</f>
        <v>1.6222269970653696E-3</v>
      </c>
      <c r="W304" s="1296">
        <f>VLOOKUP(MROUND(W32,5),'EmissRates MOVES2014'!$Z$69:$AE$84,4)</f>
        <v>1.6222269970653696E-3</v>
      </c>
      <c r="X304" s="1297">
        <f>VLOOKUP(MROUND(X32,5),'EmissRates MOVES2014'!$Z$69:$AE$84,4)</f>
        <v>1.6222269970653696E-3</v>
      </c>
    </row>
    <row r="305" spans="1:24" s="1117" customFormat="1" ht="20.100000000000001" customHeight="1" x14ac:dyDescent="0.25">
      <c r="A305" s="1114"/>
      <c r="B305" s="1225" t="s">
        <v>289</v>
      </c>
      <c r="C305" s="1217" t="s">
        <v>754</v>
      </c>
      <c r="D305" s="1659">
        <f>VLOOKUP(MROUND(D33,5),'EmissRates MOVES2014'!$C$69:$H$84,4)</f>
        <v>7.3989752118087792E-3</v>
      </c>
      <c r="E305" s="1295">
        <f>VLOOKUP(MROUND(E33,5),'EmissRates MOVES2014'!$C$69:$H$84,4)</f>
        <v>7.3989752118087792E-3</v>
      </c>
      <c r="F305" s="1296">
        <f>VLOOKUP(MROUND(F33,5),'EmissRates MOVES2014'!$Z$69:$AE$84,4)</f>
        <v>1.5772286468070419E-3</v>
      </c>
      <c r="G305" s="1296">
        <f>VLOOKUP(MROUND(G33,5),'EmissRates MOVES2014'!$Z$69:$AE$84,4)</f>
        <v>1.5772286468070419E-3</v>
      </c>
      <c r="H305" s="1296">
        <f>VLOOKUP(MROUND(H33,5),'EmissRates MOVES2014'!$Z$69:$AE$84,4)</f>
        <v>1.5772286468070419E-3</v>
      </c>
      <c r="I305" s="1296">
        <f>VLOOKUP(MROUND(I33,5),'EmissRates MOVES2014'!$Z$69:$AE$84,4)</f>
        <v>1.5992676374399666E-3</v>
      </c>
      <c r="J305" s="1296">
        <f>VLOOKUP(MROUND(J33,5),'EmissRates MOVES2014'!$Z$69:$AE$84,4)</f>
        <v>1.5992676374399666E-3</v>
      </c>
      <c r="K305" s="1296">
        <f>VLOOKUP(MROUND(K33,5),'EmissRates MOVES2014'!$Z$69:$AE$84,4)</f>
        <v>1.5992676374399666E-3</v>
      </c>
      <c r="L305" s="1296">
        <f>VLOOKUP(MROUND(L33,5),'EmissRates MOVES2014'!$Z$69:$AE$84,4)</f>
        <v>1.5992676374399666E-3</v>
      </c>
      <c r="M305" s="1296">
        <f>VLOOKUP(MROUND(M33,5),'EmissRates MOVES2014'!$Z$69:$AE$84,4)</f>
        <v>1.5992676374399666E-3</v>
      </c>
      <c r="N305" s="1296">
        <f>VLOOKUP(MROUND(N33,5),'EmissRates MOVES2014'!$Z$69:$AE$84,4)</f>
        <v>1.5992676374399666E-3</v>
      </c>
      <c r="O305" s="1296">
        <f>VLOOKUP(MROUND(O33,5),'EmissRates MOVES2014'!$Z$69:$AE$84,4)</f>
        <v>1.5992676374399666E-3</v>
      </c>
      <c r="P305" s="1296">
        <f>VLOOKUP(MROUND(P33,5),'EmissRates MOVES2014'!$Z$69:$AE$84,4)</f>
        <v>1.5992676374399666E-3</v>
      </c>
      <c r="Q305" s="1296">
        <f>VLOOKUP(MROUND(Q33,5),'EmissRates MOVES2014'!$Z$69:$AE$84,4)</f>
        <v>1.5992676374399666E-3</v>
      </c>
      <c r="R305" s="1296">
        <f>VLOOKUP(MROUND(R33,5),'EmissRates MOVES2014'!$Z$69:$AE$84,4)</f>
        <v>1.6222269970653696E-3</v>
      </c>
      <c r="S305" s="1296">
        <f>VLOOKUP(MROUND(S33,5),'EmissRates MOVES2014'!$Z$69:$AE$84,4)</f>
        <v>1.6222269970653696E-3</v>
      </c>
      <c r="T305" s="1296">
        <f>VLOOKUP(MROUND(T33,5),'EmissRates MOVES2014'!$Z$69:$AE$84,4)</f>
        <v>1.6222269970653696E-3</v>
      </c>
      <c r="U305" s="1296">
        <f>VLOOKUP(MROUND(U33,5),'EmissRates MOVES2014'!$Z$69:$AE$84,4)</f>
        <v>1.6222269970653696E-3</v>
      </c>
      <c r="V305" s="1296">
        <f>VLOOKUP(MROUND(V33,5),'EmissRates MOVES2014'!$Z$69:$AE$84,4)</f>
        <v>1.6222269970653696E-3</v>
      </c>
      <c r="W305" s="1296">
        <f>VLOOKUP(MROUND(W33,5),'EmissRates MOVES2014'!$Z$69:$AE$84,4)</f>
        <v>1.6222269970653696E-3</v>
      </c>
      <c r="X305" s="1297">
        <f>VLOOKUP(MROUND(X33,5),'EmissRates MOVES2014'!$Z$69:$AE$84,4)</f>
        <v>1.6222269970653696E-3</v>
      </c>
    </row>
    <row r="306" spans="1:24" s="1117" customFormat="1" ht="20.100000000000001" customHeight="1" thickBot="1" x14ac:dyDescent="0.3">
      <c r="A306" s="1114"/>
      <c r="B306" s="1228" t="s">
        <v>140</v>
      </c>
      <c r="C306" s="1220" t="s">
        <v>754</v>
      </c>
      <c r="D306" s="1660">
        <f>VLOOKUP(MROUND(D34,5),'EmissRates MOVES2014'!$C$69:$U$84,19)</f>
        <v>1.5199645322449292E-2</v>
      </c>
      <c r="E306" s="1298">
        <f>VLOOKUP(MROUND(E34,5),'EmissRates MOVES2014'!$C$69:$U$84,19)</f>
        <v>1.5199645322449292E-2</v>
      </c>
      <c r="F306" s="1299">
        <f>VLOOKUP(MROUND(F34,5),'EmissRates MOVES2014'!$Z$69:$AR$84,19)</f>
        <v>1.2077647691733296E-2</v>
      </c>
      <c r="G306" s="1299">
        <f>VLOOKUP(MROUND(G34,5),'EmissRates MOVES2014'!$Z$69:$AR$84,19)</f>
        <v>1.2077647691733296E-2</v>
      </c>
      <c r="H306" s="1299">
        <f>VLOOKUP(MROUND(H34,5),'EmissRates MOVES2014'!$Z$69:$AR$84,19)</f>
        <v>1.2077647691733296E-2</v>
      </c>
      <c r="I306" s="1299">
        <f>VLOOKUP(MROUND(I34,5),'EmissRates MOVES2014'!$Z$69:$AR$84,19)</f>
        <v>1.2077647691733296E-2</v>
      </c>
      <c r="J306" s="1299">
        <f>VLOOKUP(MROUND(J34,5),'EmissRates MOVES2014'!$Z$69:$AR$84,19)</f>
        <v>1.2292861918459573E-2</v>
      </c>
      <c r="K306" s="1299">
        <f>VLOOKUP(MROUND(K34,5),'EmissRates MOVES2014'!$Z$69:$AR$84,19)</f>
        <v>1.2292861918459573E-2</v>
      </c>
      <c r="L306" s="1299">
        <f>VLOOKUP(MROUND(L34,5),'EmissRates MOVES2014'!$Z$69:$AR$84,19)</f>
        <v>1.2292861918459573E-2</v>
      </c>
      <c r="M306" s="1299">
        <f>VLOOKUP(MROUND(M34,5),'EmissRates MOVES2014'!$Z$69:$AR$84,19)</f>
        <v>1.2292861918459573E-2</v>
      </c>
      <c r="N306" s="1299">
        <f>VLOOKUP(MROUND(N34,5),'EmissRates MOVES2014'!$Z$69:$AR$84,19)</f>
        <v>1.2292861918459573E-2</v>
      </c>
      <c r="O306" s="1299">
        <f>VLOOKUP(MROUND(O34,5),'EmissRates MOVES2014'!$Z$69:$AR$84,19)</f>
        <v>1.2292861918459573E-2</v>
      </c>
      <c r="P306" s="1299">
        <f>VLOOKUP(MROUND(P34,5),'EmissRates MOVES2014'!$Z$69:$AR$84,19)</f>
        <v>1.2292861918459573E-2</v>
      </c>
      <c r="Q306" s="1299">
        <f>VLOOKUP(MROUND(Q34,5),'EmissRates MOVES2014'!$Z$69:$AR$84,19)</f>
        <v>1.2292861918459573E-2</v>
      </c>
      <c r="R306" s="1299">
        <f>VLOOKUP(MROUND(R34,5),'EmissRates MOVES2014'!$Z$69:$AR$84,19)</f>
        <v>1.2292861918459573E-2</v>
      </c>
      <c r="S306" s="1299">
        <f>VLOOKUP(MROUND(S34,5),'EmissRates MOVES2014'!$Z$69:$AR$84,19)</f>
        <v>1.2292861918459573E-2</v>
      </c>
      <c r="T306" s="1299">
        <f>VLOOKUP(MROUND(T34,5),'EmissRates MOVES2014'!$Z$69:$AR$84,19)</f>
        <v>1.2292861918459573E-2</v>
      </c>
      <c r="U306" s="1299">
        <f>VLOOKUP(MROUND(U34,5),'EmissRates MOVES2014'!$Z$69:$AR$84,19)</f>
        <v>1.2292861918459573E-2</v>
      </c>
      <c r="V306" s="1299">
        <f>VLOOKUP(MROUND(V34,5),'EmissRates MOVES2014'!$Z$69:$AR$84,19)</f>
        <v>1.2575775426446041E-2</v>
      </c>
      <c r="W306" s="1299">
        <f>VLOOKUP(MROUND(W34,5),'EmissRates MOVES2014'!$Z$69:$AR$84,19)</f>
        <v>1.2575775426446041E-2</v>
      </c>
      <c r="X306" s="1300">
        <f>VLOOKUP(MROUND(X34,5),'EmissRates MOVES2014'!$Z$69:$AR$84,19)</f>
        <v>1.2575775426446041E-2</v>
      </c>
    </row>
    <row r="307" spans="1:24" s="1066" customFormat="1" ht="20.100000000000001" customHeight="1" x14ac:dyDescent="0.25">
      <c r="A307" s="1064"/>
      <c r="B307" s="1090"/>
    </row>
    <row r="308" spans="1:24" s="1066" customFormat="1" ht="14.25" x14ac:dyDescent="0.25">
      <c r="A308" s="1064"/>
    </row>
    <row r="309" spans="1:24" s="1066" customFormat="1" ht="29.25" x14ac:dyDescent="0.5">
      <c r="A309" s="1064"/>
      <c r="B309" s="1092" t="s">
        <v>755</v>
      </c>
      <c r="C309" s="1092"/>
      <c r="D309" s="1092"/>
      <c r="E309" s="1092"/>
      <c r="F309" s="1092"/>
      <c r="G309" s="1092"/>
      <c r="H309" s="1092"/>
      <c r="I309" s="1092"/>
      <c r="J309" s="1092"/>
      <c r="K309" s="1092"/>
      <c r="L309" s="1092"/>
      <c r="M309" s="1092"/>
      <c r="N309" s="1092"/>
      <c r="O309" s="1092"/>
      <c r="P309" s="1092"/>
      <c r="Q309" s="1092"/>
      <c r="R309" s="1092"/>
      <c r="S309" s="1092"/>
      <c r="T309" s="1092"/>
      <c r="U309" s="1092"/>
      <c r="V309" s="1092"/>
      <c r="W309" s="1092"/>
      <c r="X309" s="1092"/>
    </row>
    <row r="310" spans="1:24" s="1066" customFormat="1" ht="24" customHeight="1" x14ac:dyDescent="0.25">
      <c r="A310" s="1064"/>
      <c r="B310" s="1101" t="s">
        <v>322</v>
      </c>
      <c r="C310" s="1101"/>
      <c r="D310" s="1101"/>
      <c r="E310" s="1101"/>
      <c r="F310" s="1101"/>
      <c r="G310" s="1101"/>
      <c r="H310" s="1101"/>
      <c r="I310" s="1101"/>
      <c r="J310" s="1101"/>
      <c r="K310" s="1101"/>
      <c r="L310" s="1101"/>
      <c r="M310" s="1101"/>
    </row>
    <row r="311" spans="1:24" s="1066" customFormat="1" ht="24" customHeight="1" x14ac:dyDescent="0.25">
      <c r="A311" s="1064"/>
      <c r="B311" s="1101" t="s">
        <v>323</v>
      </c>
      <c r="C311" s="1101"/>
      <c r="D311" s="1065"/>
      <c r="E311" s="1065"/>
      <c r="F311" s="1280">
        <v>907184.7</v>
      </c>
      <c r="G311" s="1101" t="s">
        <v>312</v>
      </c>
      <c r="L311" s="1101"/>
    </row>
    <row r="312" spans="1:24" s="1066" customFormat="1" ht="20.100000000000001" customHeight="1" x14ac:dyDescent="0.25">
      <c r="A312" s="1064"/>
      <c r="D312" s="1090"/>
      <c r="E312" s="1090"/>
      <c r="F312" s="1090"/>
      <c r="H312" s="1090"/>
      <c r="I312" s="1090"/>
      <c r="J312" s="1090"/>
    </row>
    <row r="313" spans="1:24" s="1066" customFormat="1" ht="27" customHeight="1" thickBot="1" x14ac:dyDescent="0.55000000000000004">
      <c r="A313" s="1064"/>
      <c r="B313" s="1093"/>
      <c r="D313" s="1840" t="s">
        <v>756</v>
      </c>
      <c r="E313" s="1840"/>
      <c r="F313" s="1840"/>
      <c r="G313" s="1840"/>
      <c r="H313" s="1840"/>
      <c r="I313" s="1840"/>
      <c r="J313" s="1840"/>
      <c r="K313" s="1840"/>
      <c r="L313" s="1840"/>
      <c r="M313" s="1840"/>
      <c r="N313" s="1840"/>
      <c r="O313" s="1840"/>
      <c r="P313" s="1840"/>
      <c r="Q313" s="1840"/>
      <c r="R313" s="1840"/>
      <c r="S313" s="1840"/>
      <c r="T313" s="1840"/>
      <c r="U313" s="1840"/>
      <c r="V313" s="1840"/>
      <c r="W313" s="1840"/>
      <c r="X313" s="1840"/>
    </row>
    <row r="314" spans="1:24" s="1066" customFormat="1" ht="20.100000000000001" customHeight="1" thickBot="1" x14ac:dyDescent="0.3">
      <c r="A314" s="1064"/>
      <c r="B314" s="1090"/>
      <c r="C314" s="1193" t="s">
        <v>117</v>
      </c>
      <c r="D314" s="712">
        <v>2023</v>
      </c>
      <c r="E314" s="417">
        <f>D314+1</f>
        <v>2024</v>
      </c>
      <c r="F314" s="417">
        <f t="shared" ref="F314:X314" si="171">E314+1</f>
        <v>2025</v>
      </c>
      <c r="G314" s="417">
        <f t="shared" si="171"/>
        <v>2026</v>
      </c>
      <c r="H314" s="417">
        <f t="shared" si="171"/>
        <v>2027</v>
      </c>
      <c r="I314" s="417">
        <f t="shared" si="171"/>
        <v>2028</v>
      </c>
      <c r="J314" s="417">
        <f t="shared" si="171"/>
        <v>2029</v>
      </c>
      <c r="K314" s="417">
        <f t="shared" si="171"/>
        <v>2030</v>
      </c>
      <c r="L314" s="417">
        <f t="shared" si="171"/>
        <v>2031</v>
      </c>
      <c r="M314" s="417">
        <f t="shared" si="171"/>
        <v>2032</v>
      </c>
      <c r="N314" s="417">
        <f t="shared" si="171"/>
        <v>2033</v>
      </c>
      <c r="O314" s="417">
        <f t="shared" si="171"/>
        <v>2034</v>
      </c>
      <c r="P314" s="417">
        <f t="shared" si="171"/>
        <v>2035</v>
      </c>
      <c r="Q314" s="417">
        <f t="shared" si="171"/>
        <v>2036</v>
      </c>
      <c r="R314" s="417">
        <f t="shared" si="171"/>
        <v>2037</v>
      </c>
      <c r="S314" s="417">
        <f t="shared" si="171"/>
        <v>2038</v>
      </c>
      <c r="T314" s="417">
        <f t="shared" si="171"/>
        <v>2039</v>
      </c>
      <c r="U314" s="417">
        <f t="shared" si="171"/>
        <v>2040</v>
      </c>
      <c r="V314" s="417">
        <f t="shared" si="171"/>
        <v>2041</v>
      </c>
      <c r="W314" s="417">
        <f t="shared" si="171"/>
        <v>2042</v>
      </c>
      <c r="X314" s="713">
        <f t="shared" si="171"/>
        <v>2043</v>
      </c>
    </row>
    <row r="315" spans="1:24" s="1066" customFormat="1" ht="20.100000000000001" customHeight="1" x14ac:dyDescent="0.35">
      <c r="A315" s="1064"/>
      <c r="B315" s="1222" t="s">
        <v>287</v>
      </c>
      <c r="C315" s="1159" t="s">
        <v>754</v>
      </c>
      <c r="D315" s="1301">
        <f t="shared" ref="D315:E315" si="172">D7*D296/$F$311</f>
        <v>2.7155697386702053</v>
      </c>
      <c r="E315" s="1301">
        <f t="shared" si="172"/>
        <v>2.7383908631611589</v>
      </c>
      <c r="F315" s="1301">
        <f>F7*F296/$F$311</f>
        <v>0.59680801577170572</v>
      </c>
      <c r="G315" s="1301">
        <f>D7*G296/$F$311</f>
        <v>0.58690214153728049</v>
      </c>
      <c r="H315" s="1301">
        <f t="shared" ref="H315:X315" si="173">H7*H296/$F$311</f>
        <v>0.60688108371254912</v>
      </c>
      <c r="I315" s="1301">
        <f t="shared" si="173"/>
        <v>0.61198119532647177</v>
      </c>
      <c r="J315" s="1301">
        <f t="shared" si="173"/>
        <v>0.62861520949735916</v>
      </c>
      <c r="K315" s="1301">
        <f t="shared" si="173"/>
        <v>0.63389797051379004</v>
      </c>
      <c r="L315" s="1301">
        <f t="shared" si="173"/>
        <v>0.63922512683522648</v>
      </c>
      <c r="M315" s="1301">
        <f t="shared" si="173"/>
        <v>0.64459705155125169</v>
      </c>
      <c r="N315" s="1301">
        <f t="shared" si="173"/>
        <v>0.65001412088682198</v>
      </c>
      <c r="O315" s="1301">
        <f t="shared" si="173"/>
        <v>0.70275128418821131</v>
      </c>
      <c r="P315" s="1301">
        <f t="shared" si="173"/>
        <v>0.70865707048206306</v>
      </c>
      <c r="Q315" s="1301">
        <f t="shared" si="173"/>
        <v>0.71461248786522524</v>
      </c>
      <c r="R315" s="1301">
        <f t="shared" si="173"/>
        <v>0.72061795342780333</v>
      </c>
      <c r="S315" s="1301">
        <f t="shared" si="173"/>
        <v>0.72667388776504671</v>
      </c>
      <c r="T315" s="1301">
        <f t="shared" si="173"/>
        <v>0.73278071500680708</v>
      </c>
      <c r="U315" s="1301">
        <f t="shared" si="173"/>
        <v>0.73893886284724131</v>
      </c>
      <c r="V315" s="1301">
        <f t="shared" si="173"/>
        <v>0.83147512999047957</v>
      </c>
      <c r="W315" s="1301">
        <f t="shared" si="173"/>
        <v>0.83846268666502743</v>
      </c>
      <c r="X315" s="1302">
        <f t="shared" si="173"/>
        <v>0.84550896541858733</v>
      </c>
    </row>
    <row r="316" spans="1:24" s="1066" customFormat="1" ht="20.100000000000001" customHeight="1" x14ac:dyDescent="0.35">
      <c r="A316" s="1064"/>
      <c r="B316" s="1225" t="s">
        <v>288</v>
      </c>
      <c r="C316" s="1165" t="s">
        <v>754</v>
      </c>
      <c r="D316" s="1303">
        <f t="shared" ref="D316:E316" si="174">D8*D297/$F$311</f>
        <v>1.4712030933331368</v>
      </c>
      <c r="E316" s="1303">
        <f t="shared" si="174"/>
        <v>1.4723575352300395</v>
      </c>
      <c r="F316" s="1303">
        <f>F8*F297/$F$311</f>
        <v>0.31846277203106854</v>
      </c>
      <c r="G316" s="1303">
        <f>D8*G297/$F$311</f>
        <v>0.31796356905063894</v>
      </c>
      <c r="H316" s="1303">
        <f t="shared" ref="H316:X316" si="175">H8*H297/$F$311</f>
        <v>0.31896275876045532</v>
      </c>
      <c r="I316" s="1303">
        <f t="shared" si="175"/>
        <v>0.31921304641545917</v>
      </c>
      <c r="J316" s="1303">
        <f t="shared" si="175"/>
        <v>0.32541203987026329</v>
      </c>
      <c r="K316" s="1303">
        <f t="shared" si="175"/>
        <v>0.32566738822718638</v>
      </c>
      <c r="L316" s="1303">
        <f t="shared" si="175"/>
        <v>0.32592293695402641</v>
      </c>
      <c r="M316" s="1303">
        <f t="shared" si="175"/>
        <v>0.32617868620801205</v>
      </c>
      <c r="N316" s="1303">
        <f t="shared" si="175"/>
        <v>0.32643463614649559</v>
      </c>
      <c r="O316" s="1303">
        <f t="shared" si="175"/>
        <v>0.35025251860480272</v>
      </c>
      <c r="P316" s="1303">
        <f t="shared" si="175"/>
        <v>0.35052735909678195</v>
      </c>
      <c r="Q316" s="1303">
        <f t="shared" si="175"/>
        <v>0.35080241525400863</v>
      </c>
      <c r="R316" s="1303">
        <f t="shared" si="175"/>
        <v>0.35107768724571331</v>
      </c>
      <c r="S316" s="1303">
        <f t="shared" si="175"/>
        <v>0.35135317524125975</v>
      </c>
      <c r="T316" s="1303">
        <f t="shared" si="175"/>
        <v>0.3516288794101447</v>
      </c>
      <c r="U316" s="1303">
        <f t="shared" si="175"/>
        <v>0.35190479992199769</v>
      </c>
      <c r="V316" s="1303">
        <f t="shared" si="175"/>
        <v>0.3929815159539316</v>
      </c>
      <c r="W316" s="1303">
        <f t="shared" si="175"/>
        <v>0.39328988556570144</v>
      </c>
      <c r="X316" s="1304">
        <f t="shared" si="175"/>
        <v>0.39359849715276418</v>
      </c>
    </row>
    <row r="317" spans="1:24" s="1066" customFormat="1" ht="20.100000000000001" customHeight="1" x14ac:dyDescent="0.35">
      <c r="A317" s="1064"/>
      <c r="B317" s="1225" t="s">
        <v>289</v>
      </c>
      <c r="C317" s="1165" t="s">
        <v>754</v>
      </c>
      <c r="D317" s="1303">
        <f t="shared" ref="D317:E317" si="176">D9*D298/$F$311</f>
        <v>0.89374928171379753</v>
      </c>
      <c r="E317" s="1303">
        <f t="shared" si="176"/>
        <v>0.90117056623859892</v>
      </c>
      <c r="F317" s="1303">
        <f>F9*F298/$F$311</f>
        <v>0.19638260879157685</v>
      </c>
      <c r="G317" s="1303">
        <f>D9*G298/$F$311</f>
        <v>0.19316144231747812</v>
      </c>
      <c r="H317" s="1303">
        <f t="shared" ref="H317:X317" si="177">H9*H298/$F$311</f>
        <v>0.19965749154222323</v>
      </c>
      <c r="I317" s="1303">
        <f t="shared" si="177"/>
        <v>0.20131535587012706</v>
      </c>
      <c r="J317" s="1303">
        <f t="shared" si="177"/>
        <v>0.20676666659326071</v>
      </c>
      <c r="K317" s="1303">
        <f t="shared" si="177"/>
        <v>0.20848356225340706</v>
      </c>
      <c r="L317" s="1303">
        <f t="shared" si="177"/>
        <v>0.21021471422844401</v>
      </c>
      <c r="M317" s="1303">
        <f t="shared" si="177"/>
        <v>0.21196024089627816</v>
      </c>
      <c r="N317" s="1303">
        <f t="shared" si="177"/>
        <v>0.21372026161777222</v>
      </c>
      <c r="O317" s="1303">
        <f t="shared" si="177"/>
        <v>0.23103691120699457</v>
      </c>
      <c r="P317" s="1303">
        <f t="shared" si="177"/>
        <v>0.2329553358579331</v>
      </c>
      <c r="Q317" s="1303">
        <f t="shared" si="177"/>
        <v>0.23488969022816245</v>
      </c>
      <c r="R317" s="1303">
        <f t="shared" si="177"/>
        <v>0.23684010659077254</v>
      </c>
      <c r="S317" s="1303">
        <f t="shared" si="177"/>
        <v>0.23880671831718872</v>
      </c>
      <c r="T317" s="1303">
        <f t="shared" si="177"/>
        <v>0.24078965988629142</v>
      </c>
      <c r="U317" s="1303">
        <f t="shared" si="177"/>
        <v>0.24278906689361204</v>
      </c>
      <c r="V317" s="1303">
        <f t="shared" si="177"/>
        <v>0.27316603430499226</v>
      </c>
      <c r="W317" s="1303">
        <f t="shared" si="177"/>
        <v>0.27543427989082553</v>
      </c>
      <c r="X317" s="1304">
        <f t="shared" si="177"/>
        <v>0.27772135994870711</v>
      </c>
    </row>
    <row r="318" spans="1:24" s="1066" customFormat="1" ht="20.100000000000001" customHeight="1" thickBot="1" x14ac:dyDescent="0.4">
      <c r="A318" s="1064"/>
      <c r="B318" s="1228" t="s">
        <v>140</v>
      </c>
      <c r="C318" s="1167" t="s">
        <v>754</v>
      </c>
      <c r="D318" s="1305">
        <f t="shared" ref="D318:E318" si="178">D10*D299/$F$311</f>
        <v>0.80645750258674587</v>
      </c>
      <c r="E318" s="1305">
        <f t="shared" si="178"/>
        <v>0.82558698403731179</v>
      </c>
      <c r="F318" s="1305">
        <f>F10*F299/$F$311</f>
        <v>0.66729665037617325</v>
      </c>
      <c r="G318" s="1305">
        <f>D10*G299/$F$311</f>
        <v>0.65863689189663643</v>
      </c>
      <c r="H318" s="1305">
        <f t="shared" ref="H318:X318" si="179">H10*H299/$F$311</f>
        <v>0.67607026736841502</v>
      </c>
      <c r="I318" s="1305">
        <f t="shared" si="179"/>
        <v>0.68050023985715802</v>
      </c>
      <c r="J318" s="1305">
        <f t="shared" si="179"/>
        <v>0.80318661212130082</v>
      </c>
      <c r="K318" s="1305">
        <f t="shared" si="179"/>
        <v>0.80844951860715186</v>
      </c>
      <c r="L318" s="1305">
        <f t="shared" si="179"/>
        <v>0.81374691045949266</v>
      </c>
      <c r="M318" s="1305">
        <f t="shared" si="179"/>
        <v>0.81907901364481284</v>
      </c>
      <c r="N318" s="1305">
        <f t="shared" si="179"/>
        <v>0.82444605561025419</v>
      </c>
      <c r="O318" s="1305">
        <f t="shared" si="179"/>
        <v>0.84362152078843489</v>
      </c>
      <c r="P318" s="1305">
        <f t="shared" si="179"/>
        <v>0.84914937833281601</v>
      </c>
      <c r="Q318" s="1305">
        <f t="shared" si="179"/>
        <v>0.8547134573441445</v>
      </c>
      <c r="R318" s="1305">
        <f t="shared" si="179"/>
        <v>0.86031399516476392</v>
      </c>
      <c r="S318" s="1305">
        <f t="shared" si="179"/>
        <v>0.86595123069221214</v>
      </c>
      <c r="T318" s="1305">
        <f t="shared" si="179"/>
        <v>0.8716254043894105</v>
      </c>
      <c r="U318" s="1305">
        <f t="shared" si="179"/>
        <v>0.93845278340317362</v>
      </c>
      <c r="V318" s="1305">
        <f t="shared" si="179"/>
        <v>0.94460202589041209</v>
      </c>
      <c r="W318" s="1305">
        <f t="shared" si="179"/>
        <v>0.95079156148971278</v>
      </c>
      <c r="X318" s="1306">
        <f t="shared" si="179"/>
        <v>0.95702165422300756</v>
      </c>
    </row>
    <row r="319" spans="1:24" s="1066" customFormat="1" ht="20.100000000000001" customHeight="1" x14ac:dyDescent="0.2">
      <c r="A319" s="1064"/>
      <c r="B319" s="1231"/>
      <c r="C319" s="1095"/>
      <c r="D319" s="1133"/>
      <c r="E319" s="1133"/>
      <c r="F319" s="1133"/>
      <c r="G319" s="1133"/>
      <c r="H319" s="1133"/>
      <c r="I319" s="1133"/>
      <c r="J319" s="1133"/>
      <c r="K319" s="1133"/>
      <c r="L319" s="1133"/>
      <c r="M319" s="1133"/>
      <c r="N319" s="1133"/>
      <c r="O319" s="1133"/>
      <c r="P319" s="1133"/>
      <c r="Q319" s="1133"/>
      <c r="R319" s="1133"/>
      <c r="S319" s="1133"/>
      <c r="T319" s="1133"/>
      <c r="U319" s="1133"/>
      <c r="V319" s="1133"/>
      <c r="W319" s="1133"/>
      <c r="X319" s="1133"/>
    </row>
    <row r="320" spans="1:24" s="1066" customFormat="1" ht="33" customHeight="1" thickBot="1" x14ac:dyDescent="0.55000000000000004">
      <c r="A320" s="1064"/>
      <c r="B320" s="1093"/>
      <c r="D320" s="1840" t="s">
        <v>757</v>
      </c>
      <c r="E320" s="1840"/>
      <c r="F320" s="1840"/>
      <c r="G320" s="1840"/>
      <c r="H320" s="1840"/>
      <c r="I320" s="1840"/>
      <c r="J320" s="1840"/>
      <c r="K320" s="1840"/>
      <c r="L320" s="1840"/>
      <c r="M320" s="1840"/>
      <c r="N320" s="1840"/>
      <c r="O320" s="1840"/>
      <c r="P320" s="1840"/>
      <c r="Q320" s="1840"/>
      <c r="R320" s="1840"/>
      <c r="S320" s="1840"/>
      <c r="T320" s="1840"/>
      <c r="U320" s="1840"/>
      <c r="V320" s="1840"/>
      <c r="W320" s="1840"/>
      <c r="X320" s="1840"/>
    </row>
    <row r="321" spans="1:27" s="1066" customFormat="1" ht="20.100000000000001" customHeight="1" thickBot="1" x14ac:dyDescent="0.3">
      <c r="A321" s="1064"/>
      <c r="B321" s="1090"/>
      <c r="C321" s="1193" t="s">
        <v>117</v>
      </c>
      <c r="D321" s="712">
        <v>2023</v>
      </c>
      <c r="E321" s="417">
        <f>D321+1</f>
        <v>2024</v>
      </c>
      <c r="F321" s="417">
        <f t="shared" ref="F321:X321" si="180">E321+1</f>
        <v>2025</v>
      </c>
      <c r="G321" s="417">
        <f t="shared" si="180"/>
        <v>2026</v>
      </c>
      <c r="H321" s="417">
        <f t="shared" si="180"/>
        <v>2027</v>
      </c>
      <c r="I321" s="417">
        <f t="shared" si="180"/>
        <v>2028</v>
      </c>
      <c r="J321" s="417">
        <f t="shared" si="180"/>
        <v>2029</v>
      </c>
      <c r="K321" s="417">
        <f t="shared" si="180"/>
        <v>2030</v>
      </c>
      <c r="L321" s="417">
        <f t="shared" si="180"/>
        <v>2031</v>
      </c>
      <c r="M321" s="417">
        <f t="shared" si="180"/>
        <v>2032</v>
      </c>
      <c r="N321" s="417">
        <f t="shared" si="180"/>
        <v>2033</v>
      </c>
      <c r="O321" s="417">
        <f t="shared" si="180"/>
        <v>2034</v>
      </c>
      <c r="P321" s="417">
        <f t="shared" si="180"/>
        <v>2035</v>
      </c>
      <c r="Q321" s="417">
        <f t="shared" si="180"/>
        <v>2036</v>
      </c>
      <c r="R321" s="417">
        <f t="shared" si="180"/>
        <v>2037</v>
      </c>
      <c r="S321" s="417">
        <f t="shared" si="180"/>
        <v>2038</v>
      </c>
      <c r="T321" s="417">
        <f t="shared" si="180"/>
        <v>2039</v>
      </c>
      <c r="U321" s="417">
        <f t="shared" si="180"/>
        <v>2040</v>
      </c>
      <c r="V321" s="417">
        <f t="shared" si="180"/>
        <v>2041</v>
      </c>
      <c r="W321" s="417">
        <f t="shared" si="180"/>
        <v>2042</v>
      </c>
      <c r="X321" s="713">
        <f t="shared" si="180"/>
        <v>2043</v>
      </c>
    </row>
    <row r="322" spans="1:27" s="1066" customFormat="1" ht="20.100000000000001" customHeight="1" x14ac:dyDescent="0.35">
      <c r="A322" s="1064"/>
      <c r="B322" s="1232" t="s">
        <v>287</v>
      </c>
      <c r="C322" s="1159" t="s">
        <v>754</v>
      </c>
      <c r="D322" s="1301">
        <f t="shared" ref="D322:E322" si="181">D16*D303/$F$311</f>
        <v>3.0947748223757143</v>
      </c>
      <c r="E322" s="1301">
        <f t="shared" si="181"/>
        <v>3.127139744926978</v>
      </c>
      <c r="F322" s="1301">
        <f>F16*F303/$F$311</f>
        <v>0.67357910697955081</v>
      </c>
      <c r="G322" s="1301">
        <f>D16*G303/$F$311</f>
        <v>0.65970859011364147</v>
      </c>
      <c r="H322" s="1301">
        <f t="shared" ref="H322:X322" si="182">H16*H303/$F$311</f>
        <v>0.68774125448512524</v>
      </c>
      <c r="I322" s="1301">
        <f t="shared" si="182"/>
        <v>0.70464407316926359</v>
      </c>
      <c r="J322" s="1301">
        <f t="shared" si="182"/>
        <v>0.71201318793956625</v>
      </c>
      <c r="K322" s="1301">
        <f t="shared" si="182"/>
        <v>0.71945936835842217</v>
      </c>
      <c r="L322" s="1301">
        <f t="shared" si="182"/>
        <v>0.726983420372593</v>
      </c>
      <c r="M322" s="1301">
        <f t="shared" si="182"/>
        <v>0.7345861583573714</v>
      </c>
      <c r="N322" s="1301">
        <f t="shared" si="182"/>
        <v>0.74226840520472548</v>
      </c>
      <c r="O322" s="1301">
        <f t="shared" si="182"/>
        <v>0.7500309924123657</v>
      </c>
      <c r="P322" s="1301">
        <f t="shared" si="182"/>
        <v>0.75787476017374333</v>
      </c>
      <c r="Q322" s="1301">
        <f t="shared" si="182"/>
        <v>0.76580055746898934</v>
      </c>
      <c r="R322" s="1301">
        <f t="shared" si="182"/>
        <v>0.78491817993320989</v>
      </c>
      <c r="S322" s="1301">
        <f t="shared" si="182"/>
        <v>0.79312679528025987</v>
      </c>
      <c r="T322" s="1301">
        <f t="shared" si="182"/>
        <v>0.80142125570981471</v>
      </c>
      <c r="U322" s="1301">
        <f t="shared" si="182"/>
        <v>0.80980245898329661</v>
      </c>
      <c r="V322" s="1301">
        <f t="shared" si="182"/>
        <v>0.81827131225084937</v>
      </c>
      <c r="W322" s="1301">
        <f t="shared" si="182"/>
        <v>0.82682873214952568</v>
      </c>
      <c r="X322" s="1302">
        <f t="shared" si="182"/>
        <v>0.83547564490249815</v>
      </c>
    </row>
    <row r="323" spans="1:27" s="1066" customFormat="1" ht="20.100000000000001" customHeight="1" x14ac:dyDescent="0.35">
      <c r="A323" s="1064"/>
      <c r="B323" s="1233" t="s">
        <v>288</v>
      </c>
      <c r="C323" s="1165" t="s">
        <v>754</v>
      </c>
      <c r="D323" s="1303">
        <f t="shared" ref="D323:E323" si="183">D17*D304/$F$311</f>
        <v>1.6799788373284594</v>
      </c>
      <c r="E323" s="1303">
        <f t="shared" si="183"/>
        <v>1.6845691844140567</v>
      </c>
      <c r="F323" s="1303">
        <f>F17*F304/$F$311</f>
        <v>0.36007832279112767</v>
      </c>
      <c r="G323" s="1303">
        <f>D17*G304/$F$311</f>
        <v>0.35811861405280693</v>
      </c>
      <c r="H323" s="1303">
        <f t="shared" ref="H323:X323" si="184">H17*H304/$F$311</f>
        <v>0.36204875551359322</v>
      </c>
      <c r="I323" s="1303">
        <f t="shared" si="184"/>
        <v>0.36811082809076029</v>
      </c>
      <c r="J323" s="1303">
        <f t="shared" si="184"/>
        <v>0.36911664818167905</v>
      </c>
      <c r="K323" s="1303">
        <f t="shared" si="184"/>
        <v>0.37012521655919545</v>
      </c>
      <c r="L323" s="1303">
        <f t="shared" si="184"/>
        <v>0.37113654073268354</v>
      </c>
      <c r="M323" s="1303">
        <f t="shared" si="184"/>
        <v>0.3721506282320356</v>
      </c>
      <c r="N323" s="1303">
        <f t="shared" si="184"/>
        <v>0.37316748660771903</v>
      </c>
      <c r="O323" s="1303">
        <f t="shared" si="184"/>
        <v>0.37418712343083121</v>
      </c>
      <c r="P323" s="1303">
        <f t="shared" si="184"/>
        <v>0.3752095462931575</v>
      </c>
      <c r="Q323" s="1303">
        <f t="shared" si="184"/>
        <v>0.37623476280722618</v>
      </c>
      <c r="R323" s="1303">
        <f t="shared" si="184"/>
        <v>0.38267882958431382</v>
      </c>
      <c r="S323" s="1303">
        <f t="shared" si="184"/>
        <v>0.38372445504760572</v>
      </c>
      <c r="T323" s="1303">
        <f t="shared" si="184"/>
        <v>0.38477293756105285</v>
      </c>
      <c r="U323" s="1303">
        <f t="shared" si="184"/>
        <v>0.38582428493121312</v>
      </c>
      <c r="V323" s="1303">
        <f t="shared" si="184"/>
        <v>0.38687850498597476</v>
      </c>
      <c r="W323" s="1303">
        <f t="shared" si="184"/>
        <v>0.38793560557461471</v>
      </c>
      <c r="X323" s="1304">
        <f t="shared" si="184"/>
        <v>0.38899559456785743</v>
      </c>
    </row>
    <row r="324" spans="1:27" s="1066" customFormat="1" ht="20.100000000000001" customHeight="1" x14ac:dyDescent="0.35">
      <c r="A324" s="1064"/>
      <c r="B324" s="1233" t="s">
        <v>289</v>
      </c>
      <c r="C324" s="1165" t="s">
        <v>754</v>
      </c>
      <c r="D324" s="1303">
        <f t="shared" ref="D324:E324" si="185">D18*D305/$F$311</f>
        <v>1.0186348402059273</v>
      </c>
      <c r="E324" s="1303">
        <f t="shared" si="185"/>
        <v>1.029187605363368</v>
      </c>
      <c r="F324" s="1303">
        <f>F18*F305/$F$311</f>
        <v>0.22166322754554937</v>
      </c>
      <c r="G324" s="1303">
        <f>D18*G305/$F$311</f>
        <v>0.21714088838199286</v>
      </c>
      <c r="H324" s="1303">
        <f t="shared" ref="H324:X324" si="186">H18*H305/$F$311</f>
        <v>0.22627975233974701</v>
      </c>
      <c r="I324" s="1303">
        <f t="shared" si="186"/>
        <v>0.23181856247167165</v>
      </c>
      <c r="J324" s="1303">
        <f t="shared" si="186"/>
        <v>0.23422013637464606</v>
      </c>
      <c r="K324" s="1303">
        <f t="shared" si="186"/>
        <v>0.23664658989532636</v>
      </c>
      <c r="L324" s="1303">
        <f t="shared" si="186"/>
        <v>0.23909818077942541</v>
      </c>
      <c r="M324" s="1303">
        <f t="shared" si="186"/>
        <v>0.24157516944282761</v>
      </c>
      <c r="N324" s="1303">
        <f t="shared" si="186"/>
        <v>0.24407781899925127</v>
      </c>
      <c r="O324" s="1303">
        <f t="shared" si="186"/>
        <v>0.24660639528819764</v>
      </c>
      <c r="P324" s="1303">
        <f t="shared" si="186"/>
        <v>0.24916116690318893</v>
      </c>
      <c r="Q324" s="1303">
        <f t="shared" si="186"/>
        <v>0.25174240522029945</v>
      </c>
      <c r="R324" s="1303">
        <f t="shared" si="186"/>
        <v>0.25800188203138918</v>
      </c>
      <c r="S324" s="1303">
        <f t="shared" si="186"/>
        <v>0.26067470762481232</v>
      </c>
      <c r="T324" s="1303">
        <f t="shared" si="186"/>
        <v>0.26337522292575472</v>
      </c>
      <c r="U324" s="1303">
        <f t="shared" si="186"/>
        <v>0.26610371479165451</v>
      </c>
      <c r="V324" s="1303">
        <f t="shared" si="186"/>
        <v>0.26886047305171096</v>
      </c>
      <c r="W324" s="1303">
        <f t="shared" si="186"/>
        <v>0.27164579053767046</v>
      </c>
      <c r="X324" s="1304">
        <f t="shared" si="186"/>
        <v>0.27445996311493259</v>
      </c>
    </row>
    <row r="325" spans="1:27" s="1066" customFormat="1" ht="20.100000000000001" customHeight="1" thickBot="1" x14ac:dyDescent="0.4">
      <c r="A325" s="1064"/>
      <c r="B325" s="1234" t="s">
        <v>140</v>
      </c>
      <c r="C325" s="1167" t="s">
        <v>754</v>
      </c>
      <c r="D325" s="1305">
        <f t="shared" ref="D325:E325" si="187">D19*D306/$F$311</f>
        <v>0.7257636678477497</v>
      </c>
      <c r="E325" s="1305">
        <f t="shared" si="187"/>
        <v>0.74207352107556113</v>
      </c>
      <c r="F325" s="1305">
        <f>F19*F306/$F$311</f>
        <v>0.60290314599877692</v>
      </c>
      <c r="G325" s="1305">
        <f>D19*G306/$F$311</f>
        <v>0.5766922649687708</v>
      </c>
      <c r="H325" s="1305">
        <f t="shared" ref="H325:X325" si="188">H19*H306/$F$311</f>
        <v>0.63030532146101603</v>
      </c>
      <c r="I325" s="1305">
        <f t="shared" si="188"/>
        <v>0.64446997000593909</v>
      </c>
      <c r="J325" s="1305">
        <f t="shared" si="188"/>
        <v>0.67069496158916708</v>
      </c>
      <c r="K325" s="1305">
        <f t="shared" si="188"/>
        <v>0.68576727351212574</v>
      </c>
      <c r="L325" s="1305">
        <f t="shared" si="188"/>
        <v>0.70117830064798081</v>
      </c>
      <c r="M325" s="1305">
        <f t="shared" si="188"/>
        <v>0.71693565483465216</v>
      </c>
      <c r="N325" s="1305">
        <f t="shared" si="188"/>
        <v>0.73304711896844366</v>
      </c>
      <c r="O325" s="1305">
        <f t="shared" si="188"/>
        <v>0.74952065084818142</v>
      </c>
      <c r="P325" s="1305">
        <f t="shared" si="188"/>
        <v>0.76636438710574262</v>
      </c>
      <c r="Q325" s="1305">
        <f t="shared" si="188"/>
        <v>0.78358664722491178</v>
      </c>
      <c r="R325" s="1305">
        <f t="shared" si="188"/>
        <v>0.80119593765055497</v>
      </c>
      <c r="S325" s="1305">
        <f t="shared" si="188"/>
        <v>0.81920095599013465</v>
      </c>
      <c r="T325" s="1305">
        <f t="shared" si="188"/>
        <v>0.83761059530964499</v>
      </c>
      <c r="U325" s="1305">
        <f t="shared" si="188"/>
        <v>0.85643394852608867</v>
      </c>
      <c r="V325" s="1305">
        <f t="shared" si="188"/>
        <v>0.89583361738057998</v>
      </c>
      <c r="W325" s="1305">
        <f t="shared" si="188"/>
        <v>0.91596539782550812</v>
      </c>
      <c r="X325" s="1306">
        <f t="shared" si="188"/>
        <v>0.93654959329039045</v>
      </c>
    </row>
    <row r="326" spans="1:27" s="1066" customFormat="1" ht="20.100000000000001" customHeight="1" x14ac:dyDescent="0.25">
      <c r="A326" s="1064"/>
    </row>
    <row r="327" spans="1:27" s="1066" customFormat="1" ht="26.25" customHeight="1" thickBot="1" x14ac:dyDescent="0.55000000000000004">
      <c r="A327" s="1093"/>
      <c r="B327" s="1093"/>
      <c r="D327" s="1840" t="s">
        <v>758</v>
      </c>
      <c r="E327" s="1840"/>
      <c r="F327" s="1840"/>
      <c r="G327" s="1840"/>
      <c r="H327" s="1840"/>
      <c r="I327" s="1840"/>
      <c r="J327" s="1840"/>
      <c r="K327" s="1840"/>
      <c r="L327" s="1840"/>
      <c r="M327" s="1840"/>
      <c r="N327" s="1840"/>
      <c r="O327" s="1840"/>
      <c r="P327" s="1840"/>
      <c r="Q327" s="1840"/>
      <c r="R327" s="1840"/>
      <c r="S327" s="1840"/>
      <c r="T327" s="1840"/>
      <c r="U327" s="1840"/>
      <c r="V327" s="1840"/>
      <c r="W327" s="1840"/>
      <c r="X327" s="1840"/>
    </row>
    <row r="328" spans="1:27" s="1066" customFormat="1" ht="20.100000000000001" customHeight="1" thickBot="1" x14ac:dyDescent="0.3">
      <c r="A328" s="1064"/>
      <c r="B328" s="1090"/>
      <c r="C328" s="1197" t="s">
        <v>117</v>
      </c>
      <c r="D328" s="712">
        <v>2023</v>
      </c>
      <c r="E328" s="417">
        <f>D328+1</f>
        <v>2024</v>
      </c>
      <c r="F328" s="417">
        <f t="shared" ref="F328:X328" si="189">E328+1</f>
        <v>2025</v>
      </c>
      <c r="G328" s="417">
        <f t="shared" si="189"/>
        <v>2026</v>
      </c>
      <c r="H328" s="417">
        <f t="shared" si="189"/>
        <v>2027</v>
      </c>
      <c r="I328" s="417">
        <f t="shared" si="189"/>
        <v>2028</v>
      </c>
      <c r="J328" s="417">
        <f t="shared" si="189"/>
        <v>2029</v>
      </c>
      <c r="K328" s="417">
        <f t="shared" si="189"/>
        <v>2030</v>
      </c>
      <c r="L328" s="417">
        <f t="shared" si="189"/>
        <v>2031</v>
      </c>
      <c r="M328" s="417">
        <f t="shared" si="189"/>
        <v>2032</v>
      </c>
      <c r="N328" s="417">
        <f t="shared" si="189"/>
        <v>2033</v>
      </c>
      <c r="O328" s="417">
        <f t="shared" si="189"/>
        <v>2034</v>
      </c>
      <c r="P328" s="417">
        <f t="shared" si="189"/>
        <v>2035</v>
      </c>
      <c r="Q328" s="417">
        <f t="shared" si="189"/>
        <v>2036</v>
      </c>
      <c r="R328" s="417">
        <f t="shared" si="189"/>
        <v>2037</v>
      </c>
      <c r="S328" s="417">
        <f t="shared" si="189"/>
        <v>2038</v>
      </c>
      <c r="T328" s="417">
        <f t="shared" si="189"/>
        <v>2039</v>
      </c>
      <c r="U328" s="417">
        <f t="shared" si="189"/>
        <v>2040</v>
      </c>
      <c r="V328" s="417">
        <f t="shared" si="189"/>
        <v>2041</v>
      </c>
      <c r="W328" s="417">
        <f t="shared" si="189"/>
        <v>2042</v>
      </c>
      <c r="X328" s="713">
        <f t="shared" si="189"/>
        <v>2043</v>
      </c>
    </row>
    <row r="329" spans="1:27" s="1066" customFormat="1" ht="20.100000000000001" customHeight="1" x14ac:dyDescent="0.35">
      <c r="A329" s="1064"/>
      <c r="B329" s="1232" t="s">
        <v>287</v>
      </c>
      <c r="C329" s="1171" t="s">
        <v>754</v>
      </c>
      <c r="D329" s="1307">
        <f t="shared" ref="D329:X329" si="190">D322-D315</f>
        <v>0.37920508370550898</v>
      </c>
      <c r="E329" s="1308">
        <f t="shared" si="190"/>
        <v>0.38874888176581912</v>
      </c>
      <c r="F329" s="1308">
        <f t="shared" si="190"/>
        <v>7.6771091207845088E-2</v>
      </c>
      <c r="G329" s="1308">
        <f t="shared" si="190"/>
        <v>7.2806448576360983E-2</v>
      </c>
      <c r="H329" s="1308">
        <f t="shared" si="190"/>
        <v>8.0860170772576123E-2</v>
      </c>
      <c r="I329" s="1308">
        <f t="shared" si="190"/>
        <v>9.2662877842791813E-2</v>
      </c>
      <c r="J329" s="1308">
        <f t="shared" si="190"/>
        <v>8.3397978442207088E-2</v>
      </c>
      <c r="K329" s="1308">
        <f t="shared" si="190"/>
        <v>8.5561397844632125E-2</v>
      </c>
      <c r="L329" s="1308">
        <f t="shared" si="190"/>
        <v>8.7758293537366527E-2</v>
      </c>
      <c r="M329" s="1308">
        <f t="shared" si="190"/>
        <v>8.9989106806119712E-2</v>
      </c>
      <c r="N329" s="1308">
        <f t="shared" si="190"/>
        <v>9.2254284317903501E-2</v>
      </c>
      <c r="O329" s="1308">
        <f t="shared" si="190"/>
        <v>4.7279708224154393E-2</v>
      </c>
      <c r="P329" s="1308">
        <f t="shared" si="190"/>
        <v>4.9217689691680278E-2</v>
      </c>
      <c r="Q329" s="1308">
        <f t="shared" si="190"/>
        <v>5.1188069603764097E-2</v>
      </c>
      <c r="R329" s="1308">
        <f t="shared" si="190"/>
        <v>6.4300226505406566E-2</v>
      </c>
      <c r="S329" s="1308">
        <f t="shared" si="190"/>
        <v>6.6452907515213155E-2</v>
      </c>
      <c r="T329" s="1308">
        <f t="shared" si="190"/>
        <v>6.8640540703007624E-2</v>
      </c>
      <c r="U329" s="1308">
        <f t="shared" si="190"/>
        <v>7.0863596136055307E-2</v>
      </c>
      <c r="V329" s="1308">
        <f t="shared" si="190"/>
        <v>-1.3203817739630197E-2</v>
      </c>
      <c r="W329" s="1308">
        <f t="shared" si="190"/>
        <v>-1.1633954515501754E-2</v>
      </c>
      <c r="X329" s="1309">
        <f t="shared" si="190"/>
        <v>-1.0033320516089184E-2</v>
      </c>
    </row>
    <row r="330" spans="1:27" s="1066" customFormat="1" ht="20.100000000000001" customHeight="1" x14ac:dyDescent="0.35">
      <c r="A330" s="1064"/>
      <c r="B330" s="1233" t="s">
        <v>288</v>
      </c>
      <c r="C330" s="1172" t="s">
        <v>754</v>
      </c>
      <c r="D330" s="1310">
        <f t="shared" ref="D330:X330" si="191">D323-D316</f>
        <v>0.20877574399532262</v>
      </c>
      <c r="E330" s="1311">
        <f t="shared" si="191"/>
        <v>0.21221164918401714</v>
      </c>
      <c r="F330" s="1311">
        <f t="shared" si="191"/>
        <v>4.1615550760059128E-2</v>
      </c>
      <c r="G330" s="1311">
        <f t="shared" si="191"/>
        <v>4.0155045002167988E-2</v>
      </c>
      <c r="H330" s="1311">
        <f t="shared" si="191"/>
        <v>4.3085996753137901E-2</v>
      </c>
      <c r="I330" s="1311">
        <f t="shared" si="191"/>
        <v>4.8897781675301122E-2</v>
      </c>
      <c r="J330" s="1311">
        <f t="shared" si="191"/>
        <v>4.370460831141576E-2</v>
      </c>
      <c r="K330" s="1311">
        <f t="shared" si="191"/>
        <v>4.4457828332009064E-2</v>
      </c>
      <c r="L330" s="1311">
        <f t="shared" si="191"/>
        <v>4.521360377865713E-2</v>
      </c>
      <c r="M330" s="1311">
        <f t="shared" si="191"/>
        <v>4.5971942024023549E-2</v>
      </c>
      <c r="N330" s="1311">
        <f t="shared" si="191"/>
        <v>4.6732850461223441E-2</v>
      </c>
      <c r="O330" s="1311">
        <f t="shared" si="191"/>
        <v>2.3934604826028494E-2</v>
      </c>
      <c r="P330" s="1311">
        <f t="shared" si="191"/>
        <v>2.4682187196375549E-2</v>
      </c>
      <c r="Q330" s="1311">
        <f t="shared" si="191"/>
        <v>2.5432347553217549E-2</v>
      </c>
      <c r="R330" s="1311">
        <f t="shared" si="191"/>
        <v>3.1601142338600507E-2</v>
      </c>
      <c r="S330" s="1311">
        <f t="shared" si="191"/>
        <v>3.2371279806345965E-2</v>
      </c>
      <c r="T330" s="1311">
        <f t="shared" si="191"/>
        <v>3.3144058150908151E-2</v>
      </c>
      <c r="U330" s="1311">
        <f t="shared" si="191"/>
        <v>3.3919485009215433E-2</v>
      </c>
      <c r="V330" s="1311">
        <f t="shared" si="191"/>
        <v>-6.1030109679568456E-3</v>
      </c>
      <c r="W330" s="1311">
        <f t="shared" si="191"/>
        <v>-5.35427999108673E-3</v>
      </c>
      <c r="X330" s="1312">
        <f t="shared" si="191"/>
        <v>-4.602902584906754E-3</v>
      </c>
    </row>
    <row r="331" spans="1:27" s="1066" customFormat="1" ht="20.100000000000001" customHeight="1" x14ac:dyDescent="0.35">
      <c r="A331" s="1064"/>
      <c r="B331" s="1233" t="s">
        <v>289</v>
      </c>
      <c r="C331" s="1172" t="s">
        <v>754</v>
      </c>
      <c r="D331" s="1310">
        <f t="shared" ref="D331:X331" si="192">D324-D317</f>
        <v>0.12488555849212979</v>
      </c>
      <c r="E331" s="1311">
        <f t="shared" si="192"/>
        <v>0.12801703912476903</v>
      </c>
      <c r="F331" s="1311">
        <f t="shared" si="192"/>
        <v>2.5280618753972528E-2</v>
      </c>
      <c r="G331" s="1311">
        <f t="shared" si="192"/>
        <v>2.3979446064514742E-2</v>
      </c>
      <c r="H331" s="1311">
        <f t="shared" si="192"/>
        <v>2.6622260797523778E-2</v>
      </c>
      <c r="I331" s="1311">
        <f t="shared" si="192"/>
        <v>3.0503206601544597E-2</v>
      </c>
      <c r="J331" s="1311">
        <f t="shared" si="192"/>
        <v>2.7453469781385353E-2</v>
      </c>
      <c r="K331" s="1311">
        <f t="shared" si="192"/>
        <v>2.8163027641919303E-2</v>
      </c>
      <c r="L331" s="1311">
        <f t="shared" si="192"/>
        <v>2.8883466550981396E-2</v>
      </c>
      <c r="M331" s="1311">
        <f t="shared" si="192"/>
        <v>2.9614928546549457E-2</v>
      </c>
      <c r="N331" s="1311">
        <f t="shared" si="192"/>
        <v>3.035755738147905E-2</v>
      </c>
      <c r="O331" s="1311">
        <f t="shared" si="192"/>
        <v>1.5569484081203067E-2</v>
      </c>
      <c r="P331" s="1311">
        <f t="shared" si="192"/>
        <v>1.6205831045255831E-2</v>
      </c>
      <c r="Q331" s="1311">
        <f t="shared" si="192"/>
        <v>1.6852714992137002E-2</v>
      </c>
      <c r="R331" s="1311">
        <f t="shared" si="192"/>
        <v>2.1161775440616648E-2</v>
      </c>
      <c r="S331" s="1311">
        <f t="shared" si="192"/>
        <v>2.1867989307623598E-2</v>
      </c>
      <c r="T331" s="1311">
        <f t="shared" si="192"/>
        <v>2.2585563039463297E-2</v>
      </c>
      <c r="U331" s="1311">
        <f t="shared" si="192"/>
        <v>2.3314647898042468E-2</v>
      </c>
      <c r="V331" s="1311">
        <f t="shared" si="192"/>
        <v>-4.3055612532812981E-3</v>
      </c>
      <c r="W331" s="1311">
        <f t="shared" si="192"/>
        <v>-3.7884893531550667E-3</v>
      </c>
      <c r="X331" s="1312">
        <f t="shared" si="192"/>
        <v>-3.2613968337745214E-3</v>
      </c>
    </row>
    <row r="332" spans="1:27" s="1066" customFormat="1" ht="20.100000000000001" customHeight="1" thickBot="1" x14ac:dyDescent="0.4">
      <c r="A332" s="1064"/>
      <c r="B332" s="1234" t="s">
        <v>140</v>
      </c>
      <c r="C332" s="1173" t="s">
        <v>754</v>
      </c>
      <c r="D332" s="1313">
        <f t="shared" ref="D332:X332" si="193">D325-D318</f>
        <v>-8.0693834738996162E-2</v>
      </c>
      <c r="E332" s="1314">
        <f t="shared" si="193"/>
        <v>-8.3513462961750662E-2</v>
      </c>
      <c r="F332" s="1314">
        <f t="shared" si="193"/>
        <v>-6.4393504377396327E-2</v>
      </c>
      <c r="G332" s="1314">
        <f t="shared" si="193"/>
        <v>-8.1944626927865638E-2</v>
      </c>
      <c r="H332" s="1314">
        <f t="shared" si="193"/>
        <v>-4.5764945907398991E-2</v>
      </c>
      <c r="I332" s="1314">
        <f t="shared" si="193"/>
        <v>-3.6030269851218932E-2</v>
      </c>
      <c r="J332" s="1314">
        <f t="shared" si="193"/>
        <v>-0.13249165053213374</v>
      </c>
      <c r="K332" s="1314">
        <f t="shared" si="193"/>
        <v>-0.12268224509502612</v>
      </c>
      <c r="L332" s="1314">
        <f t="shared" si="193"/>
        <v>-0.11256860981151184</v>
      </c>
      <c r="M332" s="1314">
        <f t="shared" si="193"/>
        <v>-0.10214335881016068</v>
      </c>
      <c r="N332" s="1314">
        <f t="shared" si="193"/>
        <v>-9.1398936641810535E-2</v>
      </c>
      <c r="O332" s="1314">
        <f t="shared" si="193"/>
        <v>-9.4100869940253462E-2</v>
      </c>
      <c r="P332" s="1314">
        <f t="shared" si="193"/>
        <v>-8.278499122707339E-2</v>
      </c>
      <c r="Q332" s="1314">
        <f t="shared" si="193"/>
        <v>-7.112681011923272E-2</v>
      </c>
      <c r="R332" s="1314">
        <f t="shared" si="193"/>
        <v>-5.9118057514208955E-2</v>
      </c>
      <c r="S332" s="1314">
        <f t="shared" si="193"/>
        <v>-4.6750274702077488E-2</v>
      </c>
      <c r="T332" s="1314">
        <f t="shared" si="193"/>
        <v>-3.4014809079765507E-2</v>
      </c>
      <c r="U332" s="1314">
        <f t="shared" si="193"/>
        <v>-8.2018834877084945E-2</v>
      </c>
      <c r="V332" s="1314">
        <f t="shared" si="193"/>
        <v>-4.8768408509832106E-2</v>
      </c>
      <c r="W332" s="1314">
        <f t="shared" si="193"/>
        <v>-3.4826163664204657E-2</v>
      </c>
      <c r="X332" s="1315">
        <f t="shared" si="193"/>
        <v>-2.0472060932617109E-2</v>
      </c>
    </row>
    <row r="333" spans="1:27" s="1066" customFormat="1" ht="15" thickBot="1" x14ac:dyDescent="0.3">
      <c r="A333" s="1064"/>
    </row>
    <row r="334" spans="1:27" s="1064" customFormat="1" ht="27" customHeight="1" thickBot="1" x14ac:dyDescent="0.3">
      <c r="B334" s="1150" t="s">
        <v>759</v>
      </c>
      <c r="C334" s="1152"/>
      <c r="D334" s="1152"/>
      <c r="E334" s="1152"/>
      <c r="F334" s="1316">
        <f>Rates!E79</f>
        <v>43600</v>
      </c>
      <c r="H334" s="1154"/>
      <c r="I334" s="1154"/>
      <c r="J334" s="1154"/>
      <c r="K334" s="1154"/>
      <c r="L334" s="1154"/>
      <c r="M334" s="1154"/>
      <c r="N334" s="1154"/>
      <c r="O334" s="1154"/>
      <c r="P334" s="1154"/>
      <c r="Q334" s="1154"/>
      <c r="R334" s="1154"/>
      <c r="S334" s="1154"/>
      <c r="T334" s="1154"/>
      <c r="U334" s="1154"/>
      <c r="V334" s="1154"/>
      <c r="W334" s="1154"/>
      <c r="X334" s="1154"/>
      <c r="Y334" s="1154"/>
      <c r="Z334" s="1154"/>
      <c r="AA334" s="1154"/>
    </row>
    <row r="335" spans="1:27" s="1066" customFormat="1" ht="25.5" customHeight="1" x14ac:dyDescent="0.25">
      <c r="A335" s="1064"/>
      <c r="B335" s="1851" t="s">
        <v>331</v>
      </c>
      <c r="C335" s="1851"/>
      <c r="D335" s="1851"/>
      <c r="E335" s="1851"/>
      <c r="F335" s="1851"/>
      <c r="G335" s="1852"/>
      <c r="I335" s="1154"/>
      <c r="J335" s="1154"/>
      <c r="K335" s="1154"/>
      <c r="L335" s="1154"/>
      <c r="M335" s="1154"/>
      <c r="N335" s="1154"/>
      <c r="O335" s="1154"/>
      <c r="P335" s="1154"/>
      <c r="Q335" s="1154"/>
      <c r="R335" s="1154"/>
      <c r="S335" s="1154"/>
      <c r="T335" s="1154"/>
      <c r="U335" s="1154"/>
      <c r="V335" s="1154"/>
      <c r="W335" s="1154"/>
      <c r="X335" s="1154"/>
      <c r="Y335" s="1154"/>
      <c r="Z335" s="1154"/>
      <c r="AA335" s="1154"/>
    </row>
    <row r="336" spans="1:27" s="1066" customFormat="1" ht="25.5" customHeight="1" thickBot="1" x14ac:dyDescent="0.3">
      <c r="A336" s="1064"/>
      <c r="B336" s="1208"/>
      <c r="C336" s="1208"/>
      <c r="D336" s="1208"/>
      <c r="E336" s="1208"/>
      <c r="F336" s="1208"/>
      <c r="G336" s="1208"/>
      <c r="I336" s="1154"/>
      <c r="J336" s="1154"/>
      <c r="K336" s="1154"/>
      <c r="L336" s="1154"/>
      <c r="M336" s="1154"/>
      <c r="N336" s="1154"/>
      <c r="O336" s="1154"/>
      <c r="P336" s="1154"/>
      <c r="Q336" s="1154"/>
      <c r="R336" s="1154"/>
      <c r="S336" s="1154"/>
      <c r="T336" s="1154"/>
      <c r="U336" s="1154"/>
      <c r="V336" s="1154"/>
      <c r="W336" s="1154"/>
      <c r="X336" s="1154"/>
      <c r="Y336" s="1154"/>
      <c r="Z336" s="1154"/>
      <c r="AA336" s="1154"/>
    </row>
    <row r="337" spans="1:36" s="1066" customFormat="1" ht="20.100000000000001" customHeight="1" thickBot="1" x14ac:dyDescent="0.3">
      <c r="A337" s="1064"/>
      <c r="B337" s="1064"/>
      <c r="C337" s="1193" t="s">
        <v>117</v>
      </c>
      <c r="D337" s="712">
        <v>2023</v>
      </c>
      <c r="E337" s="417">
        <f>D337+1</f>
        <v>2024</v>
      </c>
      <c r="F337" s="417">
        <f t="shared" ref="F337:X337" si="194">E337+1</f>
        <v>2025</v>
      </c>
      <c r="G337" s="417">
        <f t="shared" si="194"/>
        <v>2026</v>
      </c>
      <c r="H337" s="417">
        <f t="shared" si="194"/>
        <v>2027</v>
      </c>
      <c r="I337" s="417">
        <f t="shared" si="194"/>
        <v>2028</v>
      </c>
      <c r="J337" s="417">
        <f t="shared" si="194"/>
        <v>2029</v>
      </c>
      <c r="K337" s="417">
        <f t="shared" si="194"/>
        <v>2030</v>
      </c>
      <c r="L337" s="417">
        <f t="shared" si="194"/>
        <v>2031</v>
      </c>
      <c r="M337" s="417">
        <f t="shared" si="194"/>
        <v>2032</v>
      </c>
      <c r="N337" s="417">
        <f t="shared" si="194"/>
        <v>2033</v>
      </c>
      <c r="O337" s="417">
        <f t="shared" si="194"/>
        <v>2034</v>
      </c>
      <c r="P337" s="417">
        <f t="shared" si="194"/>
        <v>2035</v>
      </c>
      <c r="Q337" s="417">
        <f t="shared" si="194"/>
        <v>2036</v>
      </c>
      <c r="R337" s="417">
        <f t="shared" si="194"/>
        <v>2037</v>
      </c>
      <c r="S337" s="417">
        <f t="shared" si="194"/>
        <v>2038</v>
      </c>
      <c r="T337" s="417">
        <f t="shared" si="194"/>
        <v>2039</v>
      </c>
      <c r="U337" s="417">
        <f t="shared" si="194"/>
        <v>2040</v>
      </c>
      <c r="V337" s="417">
        <f t="shared" si="194"/>
        <v>2041</v>
      </c>
      <c r="W337" s="417">
        <f t="shared" si="194"/>
        <v>2042</v>
      </c>
      <c r="X337" s="713">
        <f t="shared" si="194"/>
        <v>2043</v>
      </c>
    </row>
    <row r="338" spans="1:36" s="1066" customFormat="1" ht="20.100000000000001" customHeight="1" x14ac:dyDescent="0.35">
      <c r="A338" s="1064"/>
      <c r="B338" s="1158" t="s">
        <v>394</v>
      </c>
      <c r="C338" s="1171" t="s">
        <v>754</v>
      </c>
      <c r="D338" s="1281">
        <f>$F$334*D329</f>
        <v>16533.341649560192</v>
      </c>
      <c r="E338" s="1282">
        <f t="shared" ref="E338:X338" si="195">$F$334*E329</f>
        <v>16949.451244989712</v>
      </c>
      <c r="F338" s="1282">
        <f t="shared" si="195"/>
        <v>3347.2195766620457</v>
      </c>
      <c r="G338" s="1282">
        <f t="shared" si="195"/>
        <v>3174.3611579293388</v>
      </c>
      <c r="H338" s="1282">
        <f t="shared" si="195"/>
        <v>3525.5034456843191</v>
      </c>
      <c r="I338" s="1282">
        <f t="shared" si="195"/>
        <v>4040.1014739457232</v>
      </c>
      <c r="J338" s="1282">
        <f t="shared" si="195"/>
        <v>3636.1518600802292</v>
      </c>
      <c r="K338" s="1282">
        <f t="shared" si="195"/>
        <v>3730.4769460259608</v>
      </c>
      <c r="L338" s="1282">
        <f t="shared" si="195"/>
        <v>3826.2615982291804</v>
      </c>
      <c r="M338" s="1282">
        <f t="shared" si="195"/>
        <v>3923.5250567468192</v>
      </c>
      <c r="N338" s="1282">
        <f t="shared" si="195"/>
        <v>4022.2867962605928</v>
      </c>
      <c r="O338" s="1282">
        <f t="shared" si="195"/>
        <v>2061.3952785731317</v>
      </c>
      <c r="P338" s="1282">
        <f t="shared" si="195"/>
        <v>2145.8912705572602</v>
      </c>
      <c r="Q338" s="1282">
        <f t="shared" si="195"/>
        <v>2231.7998347241146</v>
      </c>
      <c r="R338" s="1282">
        <f t="shared" si="195"/>
        <v>2803.4898756357261</v>
      </c>
      <c r="S338" s="1282">
        <f t="shared" si="195"/>
        <v>2897.3467676632936</v>
      </c>
      <c r="T338" s="1282">
        <f t="shared" si="195"/>
        <v>2992.7275746511323</v>
      </c>
      <c r="U338" s="1282">
        <f t="shared" si="195"/>
        <v>3089.6527915320112</v>
      </c>
      <c r="V338" s="1282">
        <f t="shared" si="195"/>
        <v>-575.6864534478766</v>
      </c>
      <c r="W338" s="1282">
        <f t="shared" si="195"/>
        <v>-507.24041687587646</v>
      </c>
      <c r="X338" s="1283">
        <f t="shared" si="195"/>
        <v>-437.45277450148842</v>
      </c>
      <c r="AG338" s="1266"/>
    </row>
    <row r="339" spans="1:36" s="1066" customFormat="1" ht="20.100000000000001" customHeight="1" x14ac:dyDescent="0.35">
      <c r="A339" s="1064"/>
      <c r="B339" s="1164" t="s">
        <v>467</v>
      </c>
      <c r="C339" s="1172" t="s">
        <v>754</v>
      </c>
      <c r="D339" s="1284">
        <f>$F$334*D330</f>
        <v>9102.6224381960656</v>
      </c>
      <c r="E339" s="1285">
        <f t="shared" ref="E339:X339" si="196">$F$334*E330</f>
        <v>9252.427904423148</v>
      </c>
      <c r="F339" s="1285">
        <f t="shared" si="196"/>
        <v>1814.4380131385781</v>
      </c>
      <c r="G339" s="1285">
        <f t="shared" si="196"/>
        <v>1750.7599620945243</v>
      </c>
      <c r="H339" s="1285">
        <f t="shared" si="196"/>
        <v>1878.5494584368125</v>
      </c>
      <c r="I339" s="1285">
        <f t="shared" si="196"/>
        <v>2131.943281043129</v>
      </c>
      <c r="J339" s="1285">
        <f t="shared" si="196"/>
        <v>1905.5209223777272</v>
      </c>
      <c r="K339" s="1285">
        <f t="shared" si="196"/>
        <v>1938.3613152755952</v>
      </c>
      <c r="L339" s="1285">
        <f t="shared" si="196"/>
        <v>1971.3131247494509</v>
      </c>
      <c r="M339" s="1285">
        <f t="shared" si="196"/>
        <v>2004.3766722474268</v>
      </c>
      <c r="N339" s="1285">
        <f t="shared" si="196"/>
        <v>2037.5522801093421</v>
      </c>
      <c r="O339" s="1285">
        <f t="shared" si="196"/>
        <v>1043.5487704148422</v>
      </c>
      <c r="P339" s="1285">
        <f t="shared" si="196"/>
        <v>1076.1433617619739</v>
      </c>
      <c r="Q339" s="1285">
        <f t="shared" si="196"/>
        <v>1108.8503533202852</v>
      </c>
      <c r="R339" s="1285">
        <f t="shared" si="196"/>
        <v>1377.8098059629822</v>
      </c>
      <c r="S339" s="1285">
        <f t="shared" si="196"/>
        <v>1411.3877995566841</v>
      </c>
      <c r="T339" s="1285">
        <f t="shared" si="196"/>
        <v>1445.0809353795953</v>
      </c>
      <c r="U339" s="1285">
        <f t="shared" si="196"/>
        <v>1478.8895464017928</v>
      </c>
      <c r="V339" s="1285">
        <f t="shared" si="196"/>
        <v>-266.09127820291849</v>
      </c>
      <c r="W339" s="1285">
        <f t="shared" si="196"/>
        <v>-233.44660761138144</v>
      </c>
      <c r="X339" s="1286">
        <f t="shared" si="196"/>
        <v>-200.68655270193446</v>
      </c>
      <c r="AG339" s="1266"/>
    </row>
    <row r="340" spans="1:36" s="1066" customFormat="1" ht="20.100000000000001" customHeight="1" x14ac:dyDescent="0.35">
      <c r="A340" s="1064"/>
      <c r="B340" s="1158" t="s">
        <v>396</v>
      </c>
      <c r="C340" s="1172" t="s">
        <v>754</v>
      </c>
      <c r="D340" s="1284">
        <f>$F$334*D331</f>
        <v>5445.0103502568591</v>
      </c>
      <c r="E340" s="1285">
        <f t="shared" ref="E340:X340" si="197">$F$334*E331</f>
        <v>5581.5429058399295</v>
      </c>
      <c r="F340" s="1285">
        <f t="shared" si="197"/>
        <v>1102.2349776732021</v>
      </c>
      <c r="G340" s="1285">
        <f t="shared" si="197"/>
        <v>1045.5038484128427</v>
      </c>
      <c r="H340" s="1285">
        <f t="shared" si="197"/>
        <v>1160.7305707720368</v>
      </c>
      <c r="I340" s="1285">
        <f t="shared" si="197"/>
        <v>1329.9398078273443</v>
      </c>
      <c r="J340" s="1285">
        <f t="shared" si="197"/>
        <v>1196.9712824684013</v>
      </c>
      <c r="K340" s="1285">
        <f t="shared" si="197"/>
        <v>1227.9080051876815</v>
      </c>
      <c r="L340" s="1285">
        <f t="shared" si="197"/>
        <v>1259.3191416227889</v>
      </c>
      <c r="M340" s="1285">
        <f t="shared" si="197"/>
        <v>1291.2108846295564</v>
      </c>
      <c r="N340" s="1285">
        <f t="shared" si="197"/>
        <v>1323.5895018324866</v>
      </c>
      <c r="O340" s="1285">
        <f t="shared" si="197"/>
        <v>678.82950594045371</v>
      </c>
      <c r="P340" s="1285">
        <f t="shared" si="197"/>
        <v>706.57423357315417</v>
      </c>
      <c r="Q340" s="1285">
        <f t="shared" si="197"/>
        <v>734.77837365717335</v>
      </c>
      <c r="R340" s="1285">
        <f t="shared" si="197"/>
        <v>922.65340921088591</v>
      </c>
      <c r="S340" s="1285">
        <f t="shared" si="197"/>
        <v>953.44433381238889</v>
      </c>
      <c r="T340" s="1285">
        <f t="shared" si="197"/>
        <v>984.73054852059977</v>
      </c>
      <c r="U340" s="1285">
        <f t="shared" si="197"/>
        <v>1016.5186483546515</v>
      </c>
      <c r="V340" s="1285">
        <f t="shared" si="197"/>
        <v>-187.72247064306461</v>
      </c>
      <c r="W340" s="1285">
        <f t="shared" si="197"/>
        <v>-165.17813579756091</v>
      </c>
      <c r="X340" s="1286">
        <f t="shared" si="197"/>
        <v>-142.19690195256914</v>
      </c>
      <c r="AG340" s="1266"/>
    </row>
    <row r="341" spans="1:36" s="1066" customFormat="1" ht="20.100000000000001" customHeight="1" x14ac:dyDescent="0.35">
      <c r="A341" s="1064"/>
      <c r="B341" s="1158" t="s">
        <v>140</v>
      </c>
      <c r="C341" s="1172" t="s">
        <v>754</v>
      </c>
      <c r="D341" s="1284">
        <f>$F$334*D332</f>
        <v>-3518.2511946202326</v>
      </c>
      <c r="E341" s="1285">
        <f t="shared" ref="E341:X341" si="198">$F$334*E332</f>
        <v>-3641.186985132329</v>
      </c>
      <c r="F341" s="1285">
        <f t="shared" si="198"/>
        <v>-2807.5567908544799</v>
      </c>
      <c r="G341" s="1285">
        <f t="shared" si="198"/>
        <v>-3572.7857340549417</v>
      </c>
      <c r="H341" s="1285">
        <f t="shared" si="198"/>
        <v>-1995.3516415625959</v>
      </c>
      <c r="I341" s="1285">
        <f t="shared" si="198"/>
        <v>-1570.9197655131454</v>
      </c>
      <c r="J341" s="1285">
        <f t="shared" si="198"/>
        <v>-5776.6359632010308</v>
      </c>
      <c r="K341" s="1285">
        <f t="shared" si="198"/>
        <v>-5348.9458861431385</v>
      </c>
      <c r="L341" s="1285">
        <f t="shared" si="198"/>
        <v>-4907.9913877819163</v>
      </c>
      <c r="M341" s="1285">
        <f t="shared" si="198"/>
        <v>-4453.4504441230056</v>
      </c>
      <c r="N341" s="1285">
        <f t="shared" si="198"/>
        <v>-3984.9936375829393</v>
      </c>
      <c r="O341" s="1285">
        <f t="shared" si="198"/>
        <v>-4102.7979293950511</v>
      </c>
      <c r="P341" s="1285">
        <f t="shared" si="198"/>
        <v>-3609.4256175003998</v>
      </c>
      <c r="Q341" s="1285">
        <f t="shared" si="198"/>
        <v>-3101.1289211985468</v>
      </c>
      <c r="R341" s="1285">
        <f t="shared" si="198"/>
        <v>-2577.5473076195103</v>
      </c>
      <c r="S341" s="1285">
        <f t="shared" si="198"/>
        <v>-2038.3119770105784</v>
      </c>
      <c r="T341" s="1285">
        <f t="shared" si="198"/>
        <v>-1483.0456758777761</v>
      </c>
      <c r="U341" s="1285">
        <f t="shared" si="198"/>
        <v>-3576.0212006409038</v>
      </c>
      <c r="V341" s="1285">
        <f t="shared" si="198"/>
        <v>-2126.3026110286796</v>
      </c>
      <c r="W341" s="1285">
        <f t="shared" si="198"/>
        <v>-1518.420735759323</v>
      </c>
      <c r="X341" s="1286">
        <f t="shared" si="198"/>
        <v>-892.58185666210591</v>
      </c>
      <c r="AG341" s="1266"/>
    </row>
    <row r="342" spans="1:36" s="1066" customFormat="1" ht="20.100000000000001" customHeight="1" thickBot="1" x14ac:dyDescent="0.4">
      <c r="A342" s="1064"/>
      <c r="B342" s="1158" t="s">
        <v>5</v>
      </c>
      <c r="C342" s="1173" t="s">
        <v>754</v>
      </c>
      <c r="D342" s="1287">
        <f>SUM(D338:D341)</f>
        <v>27562.723243392884</v>
      </c>
      <c r="E342" s="1288">
        <f t="shared" ref="E342:X342" si="199">SUM(E338:E341)</f>
        <v>28142.235070120463</v>
      </c>
      <c r="F342" s="1288">
        <f t="shared" si="199"/>
        <v>3456.3357766193458</v>
      </c>
      <c r="G342" s="1288">
        <f t="shared" si="199"/>
        <v>2397.8392343817641</v>
      </c>
      <c r="H342" s="1288">
        <f t="shared" si="199"/>
        <v>4569.4318333305728</v>
      </c>
      <c r="I342" s="1288">
        <f t="shared" si="199"/>
        <v>5931.0647973030509</v>
      </c>
      <c r="J342" s="1288">
        <f t="shared" si="199"/>
        <v>962.00810172532692</v>
      </c>
      <c r="K342" s="1288">
        <f t="shared" si="199"/>
        <v>1547.8003803460997</v>
      </c>
      <c r="L342" s="1288">
        <f t="shared" si="199"/>
        <v>2148.902476819504</v>
      </c>
      <c r="M342" s="1288">
        <f t="shared" si="199"/>
        <v>2765.6621695007962</v>
      </c>
      <c r="N342" s="1288">
        <f t="shared" si="199"/>
        <v>3398.4349406194824</v>
      </c>
      <c r="O342" s="1288">
        <f t="shared" si="199"/>
        <v>-319.02437446662361</v>
      </c>
      <c r="P342" s="1288">
        <f t="shared" si="199"/>
        <v>319.18324839198885</v>
      </c>
      <c r="Q342" s="1288">
        <f t="shared" si="199"/>
        <v>974.29964050302624</v>
      </c>
      <c r="R342" s="1288">
        <f t="shared" si="199"/>
        <v>2526.4057831900836</v>
      </c>
      <c r="S342" s="1288">
        <f t="shared" si="199"/>
        <v>3223.8669240217878</v>
      </c>
      <c r="T342" s="1288">
        <f t="shared" si="199"/>
        <v>3939.4933826735505</v>
      </c>
      <c r="U342" s="1288">
        <f t="shared" si="199"/>
        <v>2009.039785647552</v>
      </c>
      <c r="V342" s="1288">
        <f t="shared" si="199"/>
        <v>-3155.8028133225394</v>
      </c>
      <c r="W342" s="1288">
        <f t="shared" si="199"/>
        <v>-2424.2858960441417</v>
      </c>
      <c r="X342" s="1289">
        <f t="shared" si="199"/>
        <v>-1672.918085818098</v>
      </c>
      <c r="AG342" s="1266"/>
    </row>
    <row r="343" spans="1:36" s="1066" customFormat="1" ht="20.100000000000001" customHeight="1" thickBot="1" x14ac:dyDescent="0.3">
      <c r="A343" s="1064"/>
      <c r="B343" s="1270"/>
      <c r="C343" s="1270"/>
      <c r="D343" s="1270"/>
      <c r="E343" s="1270"/>
      <c r="F343" s="1271"/>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G343" s="1266"/>
    </row>
    <row r="344" spans="1:36" s="1066" customFormat="1" ht="20.100000000000001" customHeight="1" thickBot="1" x14ac:dyDescent="0.3">
      <c r="A344" s="1064"/>
      <c r="B344" s="1064"/>
      <c r="C344" s="1193" t="s">
        <v>117</v>
      </c>
      <c r="D344" s="712">
        <v>2023</v>
      </c>
      <c r="E344" s="417">
        <f>D344+1</f>
        <v>2024</v>
      </c>
      <c r="F344" s="417">
        <f t="shared" ref="F344:X344" si="200">E344+1</f>
        <v>2025</v>
      </c>
      <c r="G344" s="417">
        <f t="shared" si="200"/>
        <v>2026</v>
      </c>
      <c r="H344" s="417">
        <f t="shared" si="200"/>
        <v>2027</v>
      </c>
      <c r="I344" s="417">
        <f t="shared" si="200"/>
        <v>2028</v>
      </c>
      <c r="J344" s="417">
        <f t="shared" si="200"/>
        <v>2029</v>
      </c>
      <c r="K344" s="417">
        <f t="shared" si="200"/>
        <v>2030</v>
      </c>
      <c r="L344" s="417">
        <f t="shared" si="200"/>
        <v>2031</v>
      </c>
      <c r="M344" s="417">
        <f t="shared" si="200"/>
        <v>2032</v>
      </c>
      <c r="N344" s="417">
        <f t="shared" si="200"/>
        <v>2033</v>
      </c>
      <c r="O344" s="417">
        <f t="shared" si="200"/>
        <v>2034</v>
      </c>
      <c r="P344" s="417">
        <f t="shared" si="200"/>
        <v>2035</v>
      </c>
      <c r="Q344" s="417">
        <f t="shared" si="200"/>
        <v>2036</v>
      </c>
      <c r="R344" s="417">
        <f t="shared" si="200"/>
        <v>2037</v>
      </c>
      <c r="S344" s="417">
        <f t="shared" si="200"/>
        <v>2038</v>
      </c>
      <c r="T344" s="417">
        <f t="shared" si="200"/>
        <v>2039</v>
      </c>
      <c r="U344" s="417">
        <f t="shared" si="200"/>
        <v>2040</v>
      </c>
      <c r="V344" s="417">
        <f t="shared" si="200"/>
        <v>2041</v>
      </c>
      <c r="W344" s="417">
        <f t="shared" si="200"/>
        <v>2042</v>
      </c>
      <c r="X344" s="713">
        <f t="shared" si="200"/>
        <v>2043</v>
      </c>
      <c r="Y344" s="1064"/>
      <c r="Z344" s="1064"/>
      <c r="AA344" s="1064"/>
      <c r="AB344" s="1064"/>
      <c r="AC344" s="1064"/>
      <c r="AD344" s="1064"/>
      <c r="AE344" s="1064"/>
      <c r="AF344" s="1064"/>
      <c r="AG344" s="1064"/>
      <c r="AH344" s="1064"/>
      <c r="AI344" s="1064"/>
      <c r="AJ344" s="1064"/>
    </row>
    <row r="345" spans="1:36" s="1066" customFormat="1" ht="20.100000000000001" customHeight="1" x14ac:dyDescent="0.35">
      <c r="A345" s="1064"/>
      <c r="B345" s="1158" t="s">
        <v>385</v>
      </c>
      <c r="C345" s="1171" t="s">
        <v>754</v>
      </c>
      <c r="D345" s="1166">
        <f>SUM(D338:D340)</f>
        <v>31080.974438013116</v>
      </c>
      <c r="E345" s="1162">
        <f t="shared" ref="E345:X345" si="201">SUM(E338:E340)</f>
        <v>31783.422055252791</v>
      </c>
      <c r="F345" s="1162">
        <f t="shared" si="201"/>
        <v>6263.8925674738257</v>
      </c>
      <c r="G345" s="1162">
        <f t="shared" si="201"/>
        <v>5970.6249684367058</v>
      </c>
      <c r="H345" s="1162">
        <f t="shared" si="201"/>
        <v>6564.7834748931691</v>
      </c>
      <c r="I345" s="1162">
        <f t="shared" si="201"/>
        <v>7501.9845628161966</v>
      </c>
      <c r="J345" s="1162">
        <f t="shared" si="201"/>
        <v>6738.6440649263577</v>
      </c>
      <c r="K345" s="1162">
        <f t="shared" si="201"/>
        <v>6896.7462664892382</v>
      </c>
      <c r="L345" s="1162">
        <f t="shared" si="201"/>
        <v>7056.8938646014203</v>
      </c>
      <c r="M345" s="1162">
        <f t="shared" si="201"/>
        <v>7219.1126136238017</v>
      </c>
      <c r="N345" s="1162">
        <f t="shared" si="201"/>
        <v>7383.4285782024217</v>
      </c>
      <c r="O345" s="1162">
        <f t="shared" si="201"/>
        <v>3783.7735549284275</v>
      </c>
      <c r="P345" s="1162">
        <f t="shared" si="201"/>
        <v>3928.6088658923886</v>
      </c>
      <c r="Q345" s="1162">
        <f t="shared" si="201"/>
        <v>4075.428561701573</v>
      </c>
      <c r="R345" s="1162">
        <f t="shared" si="201"/>
        <v>5103.953090809594</v>
      </c>
      <c r="S345" s="1162">
        <f t="shared" si="201"/>
        <v>5262.1789010323664</v>
      </c>
      <c r="T345" s="1162">
        <f t="shared" si="201"/>
        <v>5422.5390585513269</v>
      </c>
      <c r="U345" s="1162">
        <f t="shared" si="201"/>
        <v>5585.0609862884558</v>
      </c>
      <c r="V345" s="1162">
        <f t="shared" si="201"/>
        <v>-1029.5002022938597</v>
      </c>
      <c r="W345" s="1162">
        <f t="shared" si="201"/>
        <v>-905.86516028481878</v>
      </c>
      <c r="X345" s="1163">
        <f t="shared" si="201"/>
        <v>-780.33622915599199</v>
      </c>
      <c r="Y345" s="1162">
        <f>SUM(D345:X345)</f>
        <v>154906.34888219851</v>
      </c>
      <c r="Z345" s="1064"/>
      <c r="AA345" s="1064"/>
      <c r="AB345" s="1064"/>
      <c r="AC345" s="1064"/>
      <c r="AD345" s="1064"/>
      <c r="AE345" s="1064"/>
      <c r="AF345" s="1064"/>
      <c r="AG345" s="1146"/>
      <c r="AH345" s="1064"/>
      <c r="AI345" s="1064"/>
      <c r="AJ345" s="1064"/>
    </row>
    <row r="346" spans="1:36" s="1066" customFormat="1" ht="20.100000000000001" customHeight="1" x14ac:dyDescent="0.35">
      <c r="A346" s="1064"/>
      <c r="B346" s="1158" t="s">
        <v>140</v>
      </c>
      <c r="C346" s="1172" t="s">
        <v>754</v>
      </c>
      <c r="D346" s="1166">
        <f>D341</f>
        <v>-3518.2511946202326</v>
      </c>
      <c r="E346" s="1162">
        <f t="shared" ref="E346:X346" si="202">E341</f>
        <v>-3641.186985132329</v>
      </c>
      <c r="F346" s="1162">
        <f t="shared" si="202"/>
        <v>-2807.5567908544799</v>
      </c>
      <c r="G346" s="1162">
        <f t="shared" si="202"/>
        <v>-3572.7857340549417</v>
      </c>
      <c r="H346" s="1162">
        <f t="shared" si="202"/>
        <v>-1995.3516415625959</v>
      </c>
      <c r="I346" s="1162">
        <f t="shared" si="202"/>
        <v>-1570.9197655131454</v>
      </c>
      <c r="J346" s="1162">
        <f t="shared" si="202"/>
        <v>-5776.6359632010308</v>
      </c>
      <c r="K346" s="1162">
        <f t="shared" si="202"/>
        <v>-5348.9458861431385</v>
      </c>
      <c r="L346" s="1162">
        <f t="shared" si="202"/>
        <v>-4907.9913877819163</v>
      </c>
      <c r="M346" s="1162">
        <f t="shared" si="202"/>
        <v>-4453.4504441230056</v>
      </c>
      <c r="N346" s="1162">
        <f t="shared" si="202"/>
        <v>-3984.9936375829393</v>
      </c>
      <c r="O346" s="1162">
        <f t="shared" si="202"/>
        <v>-4102.7979293950511</v>
      </c>
      <c r="P346" s="1162">
        <f t="shared" si="202"/>
        <v>-3609.4256175003998</v>
      </c>
      <c r="Q346" s="1162">
        <f t="shared" si="202"/>
        <v>-3101.1289211985468</v>
      </c>
      <c r="R346" s="1162">
        <f t="shared" si="202"/>
        <v>-2577.5473076195103</v>
      </c>
      <c r="S346" s="1162">
        <f t="shared" si="202"/>
        <v>-2038.3119770105784</v>
      </c>
      <c r="T346" s="1162">
        <f t="shared" si="202"/>
        <v>-1483.0456758777761</v>
      </c>
      <c r="U346" s="1162">
        <f t="shared" si="202"/>
        <v>-3576.0212006409038</v>
      </c>
      <c r="V346" s="1162">
        <f t="shared" si="202"/>
        <v>-2126.3026110286796</v>
      </c>
      <c r="W346" s="1162">
        <f t="shared" si="202"/>
        <v>-1518.420735759323</v>
      </c>
      <c r="X346" s="1163">
        <f t="shared" si="202"/>
        <v>-892.58185666210591</v>
      </c>
      <c r="Y346" s="1162">
        <f>SUM(D346:X346)</f>
        <v>-66603.653263262619</v>
      </c>
      <c r="Z346" s="1064"/>
      <c r="AA346" s="1064"/>
      <c r="AB346" s="1064"/>
      <c r="AC346" s="1064"/>
      <c r="AD346" s="1064"/>
      <c r="AE346" s="1064"/>
      <c r="AF346" s="1064"/>
      <c r="AG346" s="1146"/>
      <c r="AH346" s="1064"/>
      <c r="AI346" s="1064"/>
      <c r="AJ346" s="1064"/>
    </row>
    <row r="347" spans="1:36" s="1066" customFormat="1" ht="20.100000000000001" customHeight="1" thickBot="1" x14ac:dyDescent="0.4">
      <c r="A347" s="1064"/>
      <c r="B347" s="1158" t="s">
        <v>5</v>
      </c>
      <c r="C347" s="1173" t="s">
        <v>754</v>
      </c>
      <c r="D347" s="1168">
        <f t="shared" ref="D347:X347" si="203">SUM(D345:D346)</f>
        <v>27562.723243392884</v>
      </c>
      <c r="E347" s="1169">
        <f t="shared" si="203"/>
        <v>28142.235070120463</v>
      </c>
      <c r="F347" s="1169">
        <f t="shared" si="203"/>
        <v>3456.3357766193458</v>
      </c>
      <c r="G347" s="1169">
        <f t="shared" si="203"/>
        <v>2397.8392343817641</v>
      </c>
      <c r="H347" s="1169">
        <f t="shared" si="203"/>
        <v>4569.4318333305728</v>
      </c>
      <c r="I347" s="1169">
        <f t="shared" si="203"/>
        <v>5931.0647973030509</v>
      </c>
      <c r="J347" s="1169">
        <f t="shared" si="203"/>
        <v>962.00810172532692</v>
      </c>
      <c r="K347" s="1169">
        <f t="shared" si="203"/>
        <v>1547.8003803460997</v>
      </c>
      <c r="L347" s="1169">
        <f t="shared" si="203"/>
        <v>2148.902476819504</v>
      </c>
      <c r="M347" s="1169">
        <f t="shared" si="203"/>
        <v>2765.6621695007962</v>
      </c>
      <c r="N347" s="1169">
        <f t="shared" si="203"/>
        <v>3398.4349406194824</v>
      </c>
      <c r="O347" s="1169">
        <f t="shared" si="203"/>
        <v>-319.02437446662361</v>
      </c>
      <c r="P347" s="1169">
        <f t="shared" si="203"/>
        <v>319.18324839198885</v>
      </c>
      <c r="Q347" s="1169">
        <f t="shared" si="203"/>
        <v>974.29964050302624</v>
      </c>
      <c r="R347" s="1169">
        <f t="shared" si="203"/>
        <v>2526.4057831900836</v>
      </c>
      <c r="S347" s="1169">
        <f t="shared" si="203"/>
        <v>3223.8669240217878</v>
      </c>
      <c r="T347" s="1169">
        <f t="shared" si="203"/>
        <v>3939.4933826735505</v>
      </c>
      <c r="U347" s="1169">
        <f t="shared" si="203"/>
        <v>2009.039785647552</v>
      </c>
      <c r="V347" s="1169">
        <f t="shared" si="203"/>
        <v>-3155.8028133225394</v>
      </c>
      <c r="W347" s="1169">
        <f t="shared" si="203"/>
        <v>-2424.2858960441417</v>
      </c>
      <c r="X347" s="1170">
        <f t="shared" si="203"/>
        <v>-1672.918085818098</v>
      </c>
      <c r="Y347" s="1162">
        <f>SUM(D347:X347)</f>
        <v>88302.695618935875</v>
      </c>
      <c r="Z347" s="1064"/>
      <c r="AA347" s="1064"/>
      <c r="AB347" s="1064"/>
      <c r="AC347" s="1064"/>
      <c r="AD347" s="1064"/>
      <c r="AE347" s="1064"/>
      <c r="AF347" s="1064"/>
      <c r="AG347" s="1146"/>
      <c r="AH347" s="1064"/>
      <c r="AI347" s="1064"/>
      <c r="AJ347" s="1064"/>
    </row>
    <row r="348" spans="1:36" s="1064" customFormat="1" ht="20.100000000000001" customHeight="1" x14ac:dyDescent="0.2">
      <c r="B348" s="995" t="s">
        <v>313</v>
      </c>
      <c r="C348" s="1095"/>
      <c r="D348" s="1146"/>
      <c r="E348" s="1146"/>
      <c r="F348" s="1146"/>
      <c r="G348" s="1146"/>
      <c r="H348" s="1146"/>
      <c r="I348" s="1146"/>
      <c r="J348" s="1146"/>
      <c r="K348" s="1146"/>
      <c r="L348" s="1146"/>
      <c r="M348" s="1146"/>
      <c r="N348" s="1146"/>
      <c r="O348" s="1146"/>
      <c r="P348" s="1146"/>
      <c r="Q348" s="1146"/>
      <c r="R348" s="1146"/>
      <c r="S348" s="1146"/>
      <c r="T348" s="1146"/>
      <c r="U348" s="1146"/>
      <c r="V348" s="1146"/>
      <c r="W348" s="1146"/>
      <c r="X348" s="1146"/>
      <c r="AG348" s="1146"/>
    </row>
    <row r="349" spans="1:36" s="1064" customFormat="1" ht="20.100000000000001" customHeight="1" x14ac:dyDescent="0.2">
      <c r="B349" s="1136"/>
      <c r="C349" s="1095" t="s">
        <v>494</v>
      </c>
      <c r="D349" s="1146">
        <f>D342-D347</f>
        <v>0</v>
      </c>
      <c r="E349" s="1146">
        <f t="shared" ref="E349:X349" si="204">E342-E347</f>
        <v>0</v>
      </c>
      <c r="F349" s="1146">
        <f t="shared" si="204"/>
        <v>0</v>
      </c>
      <c r="G349" s="1146">
        <f t="shared" si="204"/>
        <v>0</v>
      </c>
      <c r="H349" s="1146">
        <f t="shared" si="204"/>
        <v>0</v>
      </c>
      <c r="I349" s="1146">
        <f t="shared" si="204"/>
        <v>0</v>
      </c>
      <c r="J349" s="1146">
        <f t="shared" si="204"/>
        <v>0</v>
      </c>
      <c r="K349" s="1146">
        <f t="shared" si="204"/>
        <v>0</v>
      </c>
      <c r="L349" s="1146">
        <f t="shared" si="204"/>
        <v>0</v>
      </c>
      <c r="M349" s="1146">
        <f t="shared" si="204"/>
        <v>0</v>
      </c>
      <c r="N349" s="1146">
        <f t="shared" si="204"/>
        <v>0</v>
      </c>
      <c r="O349" s="1146">
        <f t="shared" si="204"/>
        <v>0</v>
      </c>
      <c r="P349" s="1146">
        <f t="shared" si="204"/>
        <v>0</v>
      </c>
      <c r="Q349" s="1146">
        <f t="shared" si="204"/>
        <v>0</v>
      </c>
      <c r="R349" s="1146">
        <f t="shared" si="204"/>
        <v>0</v>
      </c>
      <c r="S349" s="1146">
        <f t="shared" si="204"/>
        <v>0</v>
      </c>
      <c r="T349" s="1146">
        <f t="shared" si="204"/>
        <v>0</v>
      </c>
      <c r="U349" s="1146">
        <f t="shared" si="204"/>
        <v>0</v>
      </c>
      <c r="V349" s="1146">
        <f t="shared" si="204"/>
        <v>0</v>
      </c>
      <c r="W349" s="1146">
        <f t="shared" si="204"/>
        <v>0</v>
      </c>
      <c r="X349" s="1146">
        <f t="shared" si="204"/>
        <v>0</v>
      </c>
      <c r="AG349" s="1146"/>
    </row>
    <row r="350" spans="1:36" s="1066" customFormat="1" ht="25.5" customHeight="1" x14ac:dyDescent="0.25">
      <c r="A350" s="1064"/>
      <c r="B350" s="1208"/>
      <c r="C350" s="1208"/>
      <c r="D350" s="1208"/>
      <c r="E350" s="1208"/>
      <c r="F350" s="1208"/>
      <c r="G350" s="1208"/>
      <c r="I350" s="1154"/>
      <c r="J350" s="1154"/>
      <c r="K350" s="1154"/>
      <c r="L350" s="1154"/>
      <c r="M350" s="1154"/>
      <c r="N350" s="1154"/>
      <c r="O350" s="1154"/>
      <c r="P350" s="1154"/>
      <c r="Q350" s="1154"/>
      <c r="R350" s="1154"/>
      <c r="S350" s="1154"/>
      <c r="T350" s="1154"/>
      <c r="U350" s="1154"/>
      <c r="V350" s="1154"/>
      <c r="W350" s="1154"/>
      <c r="X350" s="1154"/>
      <c r="Y350" s="1154"/>
      <c r="Z350" s="1154"/>
      <c r="AA350" s="1154"/>
    </row>
    <row r="351" spans="1:36" s="1066" customFormat="1" ht="15" thickBot="1" x14ac:dyDescent="0.3">
      <c r="A351" s="1064"/>
    </row>
    <row r="352" spans="1:36" s="1066" customFormat="1" ht="20.100000000000001" customHeight="1" thickBot="1" x14ac:dyDescent="0.3">
      <c r="A352" s="1064"/>
      <c r="B352" s="1064"/>
      <c r="C352" s="1193" t="s">
        <v>117</v>
      </c>
      <c r="D352" s="719">
        <v>2023</v>
      </c>
      <c r="E352" s="717">
        <f>D352+1</f>
        <v>2024</v>
      </c>
      <c r="F352" s="717">
        <f t="shared" ref="F352:X352" si="205">E352+1</f>
        <v>2025</v>
      </c>
      <c r="G352" s="717">
        <f t="shared" si="205"/>
        <v>2026</v>
      </c>
      <c r="H352" s="717">
        <f t="shared" si="205"/>
        <v>2027</v>
      </c>
      <c r="I352" s="717">
        <f t="shared" si="205"/>
        <v>2028</v>
      </c>
      <c r="J352" s="717">
        <f t="shared" si="205"/>
        <v>2029</v>
      </c>
      <c r="K352" s="717">
        <f t="shared" si="205"/>
        <v>2030</v>
      </c>
      <c r="L352" s="717">
        <f t="shared" si="205"/>
        <v>2031</v>
      </c>
      <c r="M352" s="717">
        <f t="shared" si="205"/>
        <v>2032</v>
      </c>
      <c r="N352" s="717">
        <f t="shared" si="205"/>
        <v>2033</v>
      </c>
      <c r="O352" s="717">
        <f t="shared" si="205"/>
        <v>2034</v>
      </c>
      <c r="P352" s="717">
        <f t="shared" si="205"/>
        <v>2035</v>
      </c>
      <c r="Q352" s="717">
        <f t="shared" si="205"/>
        <v>2036</v>
      </c>
      <c r="R352" s="717">
        <f t="shared" si="205"/>
        <v>2037</v>
      </c>
      <c r="S352" s="717">
        <f t="shared" si="205"/>
        <v>2038</v>
      </c>
      <c r="T352" s="717">
        <f t="shared" si="205"/>
        <v>2039</v>
      </c>
      <c r="U352" s="717">
        <f t="shared" si="205"/>
        <v>2040</v>
      </c>
      <c r="V352" s="717">
        <f t="shared" si="205"/>
        <v>2041</v>
      </c>
      <c r="W352" s="717">
        <f t="shared" si="205"/>
        <v>2042</v>
      </c>
      <c r="X352" s="718">
        <f t="shared" si="205"/>
        <v>2043</v>
      </c>
      <c r="Y352" s="1064"/>
      <c r="Z352" s="1064"/>
      <c r="AA352" s="1064"/>
      <c r="AB352" s="1064"/>
      <c r="AC352" s="1064"/>
      <c r="AD352" s="1064"/>
      <c r="AE352" s="1064"/>
      <c r="AF352" s="1064"/>
      <c r="AG352" s="1064"/>
      <c r="AH352" s="1064"/>
      <c r="AI352" s="1064"/>
      <c r="AJ352" s="1064"/>
    </row>
    <row r="353" spans="1:36" s="1066" customFormat="1" ht="20.100000000000001" customHeight="1" thickBot="1" x14ac:dyDescent="0.4">
      <c r="A353" s="1064"/>
      <c r="B353" s="1158" t="s">
        <v>385</v>
      </c>
      <c r="C353" s="1159" t="s">
        <v>754</v>
      </c>
      <c r="D353" s="1498">
        <f>SUM(D315:D318)*$F$334</f>
        <v>256672.3112708494</v>
      </c>
      <c r="E353" s="1499">
        <f t="shared" ref="E353:X353" si="206">SUM(E315:E318)*$F$334</f>
        <v>258875.25936188592</v>
      </c>
      <c r="F353" s="1499">
        <f t="shared" si="206"/>
        <v>77562.222047914867</v>
      </c>
      <c r="G353" s="1499">
        <f t="shared" si="206"/>
        <v>76590.552353368679</v>
      </c>
      <c r="H353" s="1499">
        <f t="shared" si="206"/>
        <v>78548.52182032683</v>
      </c>
      <c r="I353" s="1499">
        <f t="shared" si="206"/>
        <v>79047.228913657818</v>
      </c>
      <c r="J353" s="1499">
        <f t="shared" si="206"/>
        <v>85629.551024383225</v>
      </c>
      <c r="K353" s="1499">
        <f t="shared" si="206"/>
        <v>86175.331966626953</v>
      </c>
      <c r="L353" s="1499">
        <f t="shared" si="206"/>
        <v>86725.182417605465</v>
      </c>
      <c r="M353" s="1499">
        <f t="shared" si="206"/>
        <v>87279.13366429547</v>
      </c>
      <c r="N353" s="1499">
        <f t="shared" si="206"/>
        <v>87837.217237794583</v>
      </c>
      <c r="O353" s="1499">
        <f t="shared" si="206"/>
        <v>92766.073436776132</v>
      </c>
      <c r="P353" s="1499">
        <f t="shared" si="206"/>
        <v>93360.206668354294</v>
      </c>
      <c r="Q353" s="1499">
        <f t="shared" si="206"/>
        <v>93958.78701015118</v>
      </c>
      <c r="R353" s="1499">
        <f t="shared" si="206"/>
        <v>94561.848769906719</v>
      </c>
      <c r="S353" s="1499">
        <f t="shared" si="206"/>
        <v>95169.426523884846</v>
      </c>
      <c r="T353" s="1499">
        <f t="shared" si="206"/>
        <v>95781.555118999706</v>
      </c>
      <c r="U353" s="1499">
        <f t="shared" si="206"/>
        <v>99062.928369678688</v>
      </c>
      <c r="V353" s="1499">
        <f t="shared" si="206"/>
        <v>106480.99718769596</v>
      </c>
      <c r="W353" s="1499">
        <f t="shared" si="206"/>
        <v>107167.85883345125</v>
      </c>
      <c r="X353" s="1500">
        <f t="shared" si="206"/>
        <v>107859.8807859977</v>
      </c>
      <c r="Y353" s="1162">
        <f>SUM(D353:X353)</f>
        <v>2247112.0747836055</v>
      </c>
      <c r="Z353" s="1064"/>
      <c r="AA353" s="1064"/>
      <c r="AB353" s="1064"/>
      <c r="AC353" s="1064"/>
      <c r="AD353" s="1064"/>
      <c r="AE353" s="1064"/>
      <c r="AF353" s="1064"/>
      <c r="AG353" s="1146"/>
      <c r="AH353" s="1064"/>
      <c r="AI353" s="1064"/>
      <c r="AJ353" s="1064"/>
    </row>
    <row r="354" spans="1:36" s="1066" customFormat="1" ht="14.25" x14ac:dyDescent="0.25">
      <c r="A354" s="1064"/>
    </row>
    <row r="355" spans="1:36" s="1066" customFormat="1" ht="14.25" x14ac:dyDescent="0.25">
      <c r="A355" s="1064"/>
    </row>
    <row r="356" spans="1:36" s="1066" customFormat="1" ht="14.25" x14ac:dyDescent="0.25">
      <c r="A356" s="1064"/>
    </row>
    <row r="357" spans="1:36" s="1066" customFormat="1" ht="18.75" thickBot="1" x14ac:dyDescent="0.3">
      <c r="A357" s="1064"/>
      <c r="E357" s="1853" t="s">
        <v>762</v>
      </c>
      <c r="F357" s="1853"/>
      <c r="G357" s="1853"/>
      <c r="H357" s="1853"/>
      <c r="I357" s="1853"/>
    </row>
    <row r="358" spans="1:36" s="1066" customFormat="1" ht="15" thickBot="1" x14ac:dyDescent="0.3">
      <c r="A358" s="1064"/>
      <c r="D358" s="1175"/>
      <c r="E358" s="1176"/>
      <c r="F358" s="1176"/>
      <c r="G358" s="1176"/>
      <c r="H358" s="1176"/>
      <c r="I358" s="1176"/>
      <c r="J358" s="1176"/>
      <c r="K358" s="1176"/>
      <c r="L358" s="1176"/>
      <c r="M358" s="1176"/>
      <c r="N358" s="1176"/>
      <c r="O358" s="1176"/>
      <c r="P358" s="1176"/>
      <c r="Q358" s="1176"/>
      <c r="R358" s="1176"/>
      <c r="S358" s="1176"/>
      <c r="T358" s="1176"/>
      <c r="U358" s="1176"/>
      <c r="V358" s="1176"/>
      <c r="W358" s="1176"/>
      <c r="X358" s="1176"/>
      <c r="Y358" s="1177"/>
      <c r="Z358" s="1064"/>
      <c r="AA358" s="1064"/>
      <c r="AB358" s="1064"/>
      <c r="AC358" s="1064"/>
    </row>
    <row r="359" spans="1:36" s="1066" customFormat="1" ht="18.75" thickBot="1" x14ac:dyDescent="0.3">
      <c r="A359" s="1064"/>
      <c r="D359" s="1178"/>
      <c r="E359" s="1855" t="s">
        <v>858</v>
      </c>
      <c r="F359" s="1856"/>
      <c r="G359" s="1856"/>
      <c r="H359" s="1856"/>
      <c r="I359" s="1856"/>
      <c r="J359" s="1856"/>
      <c r="K359" s="1856"/>
      <c r="L359" s="1856"/>
      <c r="M359" s="1856"/>
      <c r="N359" s="1856"/>
      <c r="O359" s="1856"/>
      <c r="P359" s="1856"/>
      <c r="Q359" s="1856"/>
      <c r="R359" s="1856"/>
      <c r="S359" s="1856"/>
      <c r="T359" s="1856"/>
      <c r="U359" s="1856"/>
      <c r="V359" s="1856"/>
      <c r="W359" s="1856"/>
      <c r="X359" s="1857"/>
      <c r="Y359" s="1181"/>
      <c r="Z359" s="1064"/>
      <c r="AA359" s="1064"/>
      <c r="AB359" s="1064"/>
      <c r="AC359" s="1064"/>
    </row>
    <row r="360" spans="1:36" s="1066" customFormat="1" ht="15.75" x14ac:dyDescent="0.25">
      <c r="A360" s="1064"/>
      <c r="D360" s="1178"/>
      <c r="E360" s="1854"/>
      <c r="F360" s="1854"/>
      <c r="G360" s="1854"/>
      <c r="H360" s="1854"/>
      <c r="I360" s="1854"/>
      <c r="J360" s="1317"/>
      <c r="K360" s="1317"/>
      <c r="L360" s="1317"/>
      <c r="M360" s="1317"/>
      <c r="N360" s="1317"/>
      <c r="O360" s="1317"/>
      <c r="P360" s="1317"/>
      <c r="Q360" s="1317"/>
      <c r="R360" s="1317"/>
      <c r="S360" s="1317"/>
      <c r="T360" s="1317"/>
      <c r="U360" s="1317"/>
      <c r="V360" s="1317"/>
      <c r="W360" s="1317"/>
      <c r="X360" s="1317"/>
      <c r="Y360" s="1179"/>
      <c r="Z360" s="1317"/>
      <c r="AA360" s="1317"/>
      <c r="AB360" s="1064"/>
      <c r="AC360" s="1064"/>
    </row>
    <row r="361" spans="1:36" s="1066" customFormat="1" ht="21" customHeight="1" x14ac:dyDescent="0.25">
      <c r="A361" s="1064"/>
      <c r="D361" s="1178"/>
      <c r="E361" s="1180" t="s">
        <v>182</v>
      </c>
      <c r="F361" s="1180" t="s">
        <v>180</v>
      </c>
      <c r="G361" s="1180" t="s">
        <v>178</v>
      </c>
      <c r="H361" s="1180" t="s">
        <v>268</v>
      </c>
      <c r="I361" s="1180" t="s">
        <v>269</v>
      </c>
      <c r="J361" s="1180" t="s">
        <v>270</v>
      </c>
      <c r="K361" s="1180" t="s">
        <v>271</v>
      </c>
      <c r="L361" s="1180" t="s">
        <v>272</v>
      </c>
      <c r="M361" s="1180" t="s">
        <v>273</v>
      </c>
      <c r="N361" s="1180" t="s">
        <v>274</v>
      </c>
      <c r="O361" s="1180" t="s">
        <v>184</v>
      </c>
      <c r="P361" s="1180" t="s">
        <v>278</v>
      </c>
      <c r="Q361" s="1180" t="s">
        <v>279</v>
      </c>
      <c r="R361" s="1180" t="s">
        <v>280</v>
      </c>
      <c r="S361" s="1180" t="s">
        <v>176</v>
      </c>
      <c r="T361" s="1180" t="s">
        <v>281</v>
      </c>
      <c r="U361" s="1180" t="s">
        <v>282</v>
      </c>
      <c r="V361" s="1180" t="s">
        <v>283</v>
      </c>
      <c r="W361" s="1180" t="s">
        <v>284</v>
      </c>
      <c r="X361" s="1180" t="s">
        <v>285</v>
      </c>
      <c r="Y361" s="1318"/>
      <c r="Z361" s="1319"/>
      <c r="AA361" s="1319"/>
      <c r="AB361" s="1319"/>
      <c r="AC361" s="1064"/>
    </row>
    <row r="362" spans="1:36" s="1066" customFormat="1" ht="21" customHeight="1" x14ac:dyDescent="0.25">
      <c r="A362" s="1064"/>
      <c r="D362" s="1178"/>
      <c r="E362" s="1182"/>
      <c r="F362" s="1182"/>
      <c r="G362" s="1823" t="s">
        <v>332</v>
      </c>
      <c r="H362" s="1823"/>
      <c r="I362" s="1823"/>
      <c r="J362" s="1823" t="s">
        <v>333</v>
      </c>
      <c r="K362" s="1823"/>
      <c r="L362" s="1823"/>
      <c r="M362" s="1823" t="s">
        <v>334</v>
      </c>
      <c r="N362" s="1823"/>
      <c r="O362" s="1823"/>
      <c r="P362" s="1823" t="s">
        <v>335</v>
      </c>
      <c r="Q362" s="1823"/>
      <c r="R362" s="1823"/>
      <c r="S362" s="1823" t="s">
        <v>360</v>
      </c>
      <c r="T362" s="1823"/>
      <c r="U362" s="1823"/>
      <c r="V362" s="1850" t="s">
        <v>336</v>
      </c>
      <c r="W362" s="1850"/>
      <c r="X362" s="1850"/>
      <c r="Y362" s="1181"/>
      <c r="Z362" s="1320"/>
      <c r="AA362" s="1064"/>
      <c r="AB362" s="1321"/>
      <c r="AC362" s="1064"/>
    </row>
    <row r="363" spans="1:36" s="1066" customFormat="1" ht="21" customHeight="1" x14ac:dyDescent="0.25">
      <c r="A363" s="1064"/>
      <c r="D363" s="1178"/>
      <c r="E363" s="1184" t="s">
        <v>7</v>
      </c>
      <c r="F363" s="1184" t="s">
        <v>275</v>
      </c>
      <c r="G363" s="986" t="s">
        <v>468</v>
      </c>
      <c r="H363" s="986" t="s">
        <v>347</v>
      </c>
      <c r="I363" s="986" t="s">
        <v>5</v>
      </c>
      <c r="J363" s="986" t="s">
        <v>468</v>
      </c>
      <c r="K363" s="986" t="s">
        <v>347</v>
      </c>
      <c r="L363" s="986" t="s">
        <v>5</v>
      </c>
      <c r="M363" s="986" t="s">
        <v>468</v>
      </c>
      <c r="N363" s="986" t="s">
        <v>347</v>
      </c>
      <c r="O363" s="986" t="s">
        <v>5</v>
      </c>
      <c r="P363" s="986" t="s">
        <v>468</v>
      </c>
      <c r="Q363" s="986" t="s">
        <v>347</v>
      </c>
      <c r="R363" s="986" t="s">
        <v>5</v>
      </c>
      <c r="S363" s="986" t="s">
        <v>468</v>
      </c>
      <c r="T363" s="986" t="s">
        <v>347</v>
      </c>
      <c r="U363" s="986" t="s">
        <v>5</v>
      </c>
      <c r="V363" s="986" t="s">
        <v>468</v>
      </c>
      <c r="W363" s="986" t="s">
        <v>347</v>
      </c>
      <c r="X363" s="986" t="s">
        <v>5</v>
      </c>
      <c r="Y363" s="1181"/>
      <c r="Z363" s="1322"/>
      <c r="AA363" s="1271"/>
      <c r="AB363" s="1322"/>
      <c r="AC363" s="1064"/>
    </row>
    <row r="364" spans="1:36" s="1066" customFormat="1" ht="14.25" x14ac:dyDescent="0.25">
      <c r="A364" s="1064"/>
      <c r="D364" s="1178"/>
      <c r="E364" s="987">
        <v>4</v>
      </c>
      <c r="F364" s="988">
        <v>2023</v>
      </c>
      <c r="G364" s="1185">
        <f t="array" ref="G364:G384">TRANSPOSE(D94:X94)</f>
        <v>1631328.0436106154</v>
      </c>
      <c r="H364" s="1185">
        <f t="array" ref="H364:H384">TRANSPOSE(D95:X95)</f>
        <v>-444359.15718368487</v>
      </c>
      <c r="I364" s="1185">
        <f>G364+H364</f>
        <v>1186968.8864269305</v>
      </c>
      <c r="J364" s="1185">
        <f>D$157</f>
        <v>39542.412045102945</v>
      </c>
      <c r="K364" s="1185">
        <f>D$158</f>
        <v>-5621.0923006725461</v>
      </c>
      <c r="L364" s="1185">
        <f>SUM(J364:K364)</f>
        <v>33921.319744430395</v>
      </c>
      <c r="M364" s="1185">
        <f>D$221</f>
        <v>683770.3547608126</v>
      </c>
      <c r="N364" s="1185">
        <f>D$222</f>
        <v>-2064631.8653772965</v>
      </c>
      <c r="O364" s="1185">
        <f>SUM(M364:N364)</f>
        <v>-1380861.5106164839</v>
      </c>
      <c r="P364" s="1185">
        <f>D$283</f>
        <v>638995.65817703074</v>
      </c>
      <c r="Q364" s="1185">
        <f>D$284</f>
        <v>-806769.15178135014</v>
      </c>
      <c r="R364" s="1185">
        <f>SUM(P364:Q364)</f>
        <v>-167773.4936043194</v>
      </c>
      <c r="S364" s="1185">
        <f>D$345</f>
        <v>31080.974438013116</v>
      </c>
      <c r="T364" s="1185">
        <f>D$346</f>
        <v>-3518.2511946202326</v>
      </c>
      <c r="U364" s="1185">
        <f>SUM(S364:T364)</f>
        <v>27562.723243392884</v>
      </c>
      <c r="V364" s="1323">
        <f>J364+M364+P364+S364</f>
        <v>1393389.3994209594</v>
      </c>
      <c r="W364" s="1323">
        <f>K364+N364+Q364+T364</f>
        <v>-2880540.3606539392</v>
      </c>
      <c r="X364" s="1323">
        <f>V364+W364</f>
        <v>-1487150.9612329798</v>
      </c>
      <c r="Y364" s="1181"/>
      <c r="Z364" s="1324"/>
      <c r="AA364" s="1146"/>
      <c r="AB364" s="1146"/>
      <c r="AC364" s="1064"/>
    </row>
    <row r="365" spans="1:36" s="1066" customFormat="1" ht="14.25" x14ac:dyDescent="0.25">
      <c r="A365" s="1064"/>
      <c r="D365" s="1178"/>
      <c r="E365" s="987">
        <v>5</v>
      </c>
      <c r="F365" s="988">
        <f>F364+1</f>
        <v>2024</v>
      </c>
      <c r="G365" s="1185">
        <v>1701788.9883149732</v>
      </c>
      <c r="H365" s="1185">
        <v>-499692.55373677565</v>
      </c>
      <c r="I365" s="1185">
        <f t="shared" ref="I365:I384" si="207">G365+H365</f>
        <v>1202096.4345781975</v>
      </c>
      <c r="J365" s="1185">
        <f>E$157</f>
        <v>40603.768344005017</v>
      </c>
      <c r="K365" s="1185">
        <f>E$158</f>
        <v>-8485.6390264587753</v>
      </c>
      <c r="L365" s="1185">
        <f t="shared" ref="L365:L384" si="208">SUM(J365:K365)</f>
        <v>32118.129317546242</v>
      </c>
      <c r="M365" s="1185">
        <f>E$221</f>
        <v>696510.89465974201</v>
      </c>
      <c r="N365" s="1185">
        <f>E$222</f>
        <v>-2144315.4561754777</v>
      </c>
      <c r="O365" s="1185">
        <f t="shared" ref="O365:O384" si="209">SUM(M365:N365)</f>
        <v>-1447804.5615157357</v>
      </c>
      <c r="P365" s="1185">
        <f>E$283</f>
        <v>651904.83097054996</v>
      </c>
      <c r="Q365" s="1185">
        <f>E$284</f>
        <v>-1207488.9476130165</v>
      </c>
      <c r="R365" s="1185">
        <f t="shared" ref="R365:R382" si="210">SUM(P365:Q365)</f>
        <v>-555584.11664246651</v>
      </c>
      <c r="S365" s="1185">
        <f>E$345</f>
        <v>31783.422055252791</v>
      </c>
      <c r="T365" s="1185">
        <f>E$346</f>
        <v>-3641.186985132329</v>
      </c>
      <c r="U365" s="1185">
        <f t="shared" ref="U365:U382" si="211">SUM(S365:T365)</f>
        <v>28142.235070120463</v>
      </c>
      <c r="V365" s="1323">
        <f t="shared" ref="V365:V384" si="212">J365+M365+P365+S365</f>
        <v>1420802.9160295497</v>
      </c>
      <c r="W365" s="1323">
        <f t="shared" ref="W365:W384" si="213">K365+N365+Q365+T365</f>
        <v>-3363931.2298000855</v>
      </c>
      <c r="X365" s="1323">
        <f t="shared" ref="X365:X384" si="214">V365+W365</f>
        <v>-1943128.3137705359</v>
      </c>
      <c r="Y365" s="1181"/>
      <c r="Z365" s="1324"/>
      <c r="AA365" s="1146"/>
      <c r="AB365" s="1146"/>
      <c r="AC365" s="1064"/>
    </row>
    <row r="366" spans="1:36" s="1066" customFormat="1" ht="14.25" x14ac:dyDescent="0.25">
      <c r="A366" s="1064"/>
      <c r="D366" s="1178"/>
      <c r="E366" s="987">
        <v>6</v>
      </c>
      <c r="F366" s="988">
        <f t="shared" ref="F366:F384" si="215">F365+1</f>
        <v>2025</v>
      </c>
      <c r="G366" s="1185">
        <v>1236745.2846248832</v>
      </c>
      <c r="H366" s="1185">
        <v>-413171.56131941383</v>
      </c>
      <c r="I366" s="1185">
        <f t="shared" si="207"/>
        <v>823573.72330546938</v>
      </c>
      <c r="J366" s="1185">
        <f>F$157</f>
        <v>4208.3343624517711</v>
      </c>
      <c r="K366" s="1185">
        <f>F$158</f>
        <v>-762.68502281469671</v>
      </c>
      <c r="L366" s="1185">
        <f t="shared" si="208"/>
        <v>3445.6493396370743</v>
      </c>
      <c r="M366" s="1185">
        <f>F$221</f>
        <v>91731.556193255688</v>
      </c>
      <c r="N366" s="1185">
        <f>F$222</f>
        <v>-23977.630879128046</v>
      </c>
      <c r="O366" s="1185">
        <f t="shared" si="209"/>
        <v>67753.925314127642</v>
      </c>
      <c r="P366" s="1185">
        <f>F$283</f>
        <v>108233.64286646698</v>
      </c>
      <c r="Q366" s="1185">
        <f>F$284</f>
        <v>-67734.033916082059</v>
      </c>
      <c r="R366" s="1185">
        <f t="shared" si="210"/>
        <v>40499.608950384922</v>
      </c>
      <c r="S366" s="1185">
        <f>F$345</f>
        <v>6263.8925674738257</v>
      </c>
      <c r="T366" s="1185">
        <f>F$346</f>
        <v>-2807.5567908544799</v>
      </c>
      <c r="U366" s="1185">
        <f t="shared" si="211"/>
        <v>3456.3357766193458</v>
      </c>
      <c r="V366" s="1323">
        <f t="shared" si="212"/>
        <v>210437.42598964827</v>
      </c>
      <c r="W366" s="1323">
        <f t="shared" si="213"/>
        <v>-95281.906608879275</v>
      </c>
      <c r="X366" s="1323">
        <f t="shared" si="214"/>
        <v>115155.51938076899</v>
      </c>
      <c r="Y366" s="1181"/>
      <c r="Z366" s="1324"/>
      <c r="AA366" s="1146"/>
      <c r="AB366" s="1146"/>
      <c r="AC366" s="1064"/>
    </row>
    <row r="367" spans="1:36" s="1066" customFormat="1" ht="14.25" x14ac:dyDescent="0.25">
      <c r="A367" s="1064"/>
      <c r="D367" s="1178"/>
      <c r="E367" s="987">
        <v>7</v>
      </c>
      <c r="F367" s="988">
        <f t="shared" si="215"/>
        <v>2026</v>
      </c>
      <c r="G367" s="1185">
        <v>1291309.4678687777</v>
      </c>
      <c r="H367" s="1185">
        <v>-363558.90799250279</v>
      </c>
      <c r="I367" s="1185">
        <f t="shared" si="207"/>
        <v>927750.5598762749</v>
      </c>
      <c r="J367" s="1185">
        <f>G$157</f>
        <v>4328.6600832369859</v>
      </c>
      <c r="K367" s="1185">
        <f>G$158</f>
        <v>-712.79811744851463</v>
      </c>
      <c r="L367" s="1185">
        <f t="shared" si="208"/>
        <v>3615.861965788471</v>
      </c>
      <c r="M367" s="1185">
        <f>G$221</f>
        <v>93031.253088018959</v>
      </c>
      <c r="N367" s="1185">
        <f>G$222</f>
        <v>-21669.003669462094</v>
      </c>
      <c r="O367" s="1185">
        <f t="shared" si="209"/>
        <v>71362.249418556865</v>
      </c>
      <c r="P367" s="1185">
        <f>G$283</f>
        <v>112086.73507643375</v>
      </c>
      <c r="Q367" s="1185">
        <f>G$284</f>
        <v>-65199.385973926532</v>
      </c>
      <c r="R367" s="1185">
        <f>SUM(P367:Q367)</f>
        <v>46887.349102507214</v>
      </c>
      <c r="S367" s="1185">
        <f>G$345</f>
        <v>5970.6249684367058</v>
      </c>
      <c r="T367" s="1185">
        <f>G$346</f>
        <v>-3572.7857340549417</v>
      </c>
      <c r="U367" s="1185">
        <f>SUM(S367:T367)</f>
        <v>2397.8392343817641</v>
      </c>
      <c r="V367" s="1323">
        <f t="shared" si="212"/>
        <v>215417.2732161264</v>
      </c>
      <c r="W367" s="1323">
        <f t="shared" si="213"/>
        <v>-91153.973494892081</v>
      </c>
      <c r="X367" s="1323">
        <f t="shared" si="214"/>
        <v>124263.29972123432</v>
      </c>
      <c r="Y367" s="1181"/>
      <c r="Z367" s="1324"/>
      <c r="AA367" s="1146"/>
      <c r="AB367" s="1146"/>
      <c r="AC367" s="1064"/>
    </row>
    <row r="368" spans="1:36" s="1066" customFormat="1" ht="14.25" x14ac:dyDescent="0.25">
      <c r="A368" s="1064"/>
      <c r="D368" s="1178"/>
      <c r="E368" s="987">
        <v>8</v>
      </c>
      <c r="F368" s="988">
        <f t="shared" si="215"/>
        <v>2027</v>
      </c>
      <c r="G368" s="1185">
        <v>1347441.2574263518</v>
      </c>
      <c r="H368" s="1185">
        <v>-310008.90193116601</v>
      </c>
      <c r="I368" s="1185">
        <f t="shared" si="207"/>
        <v>1037432.3554951858</v>
      </c>
      <c r="J368" s="1185">
        <f>H$157</f>
        <v>4450.5727799068163</v>
      </c>
      <c r="K368" s="1185">
        <f>H$158</f>
        <v>-661.35092652100047</v>
      </c>
      <c r="L368" s="1185">
        <f t="shared" si="208"/>
        <v>3789.2218533858158</v>
      </c>
      <c r="M368" s="1185">
        <f>H$221</f>
        <v>94346.227512515776</v>
      </c>
      <c r="N368" s="1185">
        <f>H$222</f>
        <v>-19289.83729168573</v>
      </c>
      <c r="O368" s="1185">
        <f t="shared" si="209"/>
        <v>75056.390220830042</v>
      </c>
      <c r="P368" s="1185">
        <f>H$283</f>
        <v>115991.71431862657</v>
      </c>
      <c r="Q368" s="1185">
        <f>H$284</f>
        <v>-62581.195304593202</v>
      </c>
      <c r="R368" s="1185">
        <f t="shared" si="210"/>
        <v>53410.519014033373</v>
      </c>
      <c r="S368" s="1185">
        <f>H$345</f>
        <v>6564.7834748931691</v>
      </c>
      <c r="T368" s="1185">
        <f>H$346</f>
        <v>-1995.3516415625959</v>
      </c>
      <c r="U368" s="1185">
        <f t="shared" si="211"/>
        <v>4569.4318333305728</v>
      </c>
      <c r="V368" s="1323">
        <f t="shared" si="212"/>
        <v>221353.29808594231</v>
      </c>
      <c r="W368" s="1323">
        <f t="shared" si="213"/>
        <v>-84527.73516436253</v>
      </c>
      <c r="X368" s="1323">
        <f t="shared" si="214"/>
        <v>136825.56292157978</v>
      </c>
      <c r="Y368" s="1181"/>
      <c r="Z368" s="1324"/>
      <c r="AA368" s="1146"/>
      <c r="AB368" s="1146"/>
      <c r="AC368" s="1064"/>
    </row>
    <row r="369" spans="1:29" s="1066" customFormat="1" ht="14.25" x14ac:dyDescent="0.25">
      <c r="A369" s="1064"/>
      <c r="D369" s="1178"/>
      <c r="E369" s="987">
        <v>9</v>
      </c>
      <c r="F369" s="988">
        <f t="shared" si="215"/>
        <v>2028</v>
      </c>
      <c r="G369" s="1185">
        <v>1594131.1349391239</v>
      </c>
      <c r="H369" s="1185">
        <v>-252380.07565935841</v>
      </c>
      <c r="I369" s="1185">
        <f t="shared" si="207"/>
        <v>1341751.0592797655</v>
      </c>
      <c r="J369" s="1185">
        <f>I$157</f>
        <v>5867.9677348880032</v>
      </c>
      <c r="K369" s="1185">
        <f>I$158</f>
        <v>-608.30550840933961</v>
      </c>
      <c r="L369" s="1185">
        <f t="shared" si="208"/>
        <v>5259.6622264786638</v>
      </c>
      <c r="M369" s="1185">
        <f>I$221</f>
        <v>75297.919448450237</v>
      </c>
      <c r="N369" s="1185">
        <f>I$222</f>
        <v>-16838.424283766126</v>
      </c>
      <c r="O369" s="1185">
        <f t="shared" si="209"/>
        <v>58459.495164684107</v>
      </c>
      <c r="P369" s="1185">
        <f>I$283</f>
        <v>189665.09191552439</v>
      </c>
      <c r="Q369" s="1185">
        <f>I$284</f>
        <v>-59877.410297228947</v>
      </c>
      <c r="R369" s="1185">
        <f t="shared" si="210"/>
        <v>129787.68161829544</v>
      </c>
      <c r="S369" s="1185">
        <f>I$345</f>
        <v>7501.9845628161966</v>
      </c>
      <c r="T369" s="1185">
        <f>I$346</f>
        <v>-1570.9197655131454</v>
      </c>
      <c r="U369" s="1185">
        <f t="shared" si="211"/>
        <v>5931.0647973030509</v>
      </c>
      <c r="V369" s="1323">
        <f t="shared" si="212"/>
        <v>278332.96366167883</v>
      </c>
      <c r="W369" s="1323">
        <f t="shared" si="213"/>
        <v>-78895.059854917563</v>
      </c>
      <c r="X369" s="1323">
        <f t="shared" si="214"/>
        <v>199437.90380676126</v>
      </c>
      <c r="Y369" s="1181"/>
      <c r="Z369" s="1324"/>
      <c r="AA369" s="1146"/>
      <c r="AB369" s="1146"/>
      <c r="AC369" s="1064"/>
    </row>
    <row r="370" spans="1:29" s="1066" customFormat="1" ht="14.25" x14ac:dyDescent="0.25">
      <c r="A370" s="1064"/>
      <c r="D370" s="1178"/>
      <c r="E370" s="987">
        <v>10</v>
      </c>
      <c r="F370" s="988">
        <f t="shared" si="215"/>
        <v>2029</v>
      </c>
      <c r="G370" s="1185">
        <v>1393843.0017517521</v>
      </c>
      <c r="H370" s="1185">
        <v>-821859.11041156901</v>
      </c>
      <c r="I370" s="1185">
        <f t="shared" si="207"/>
        <v>571983.89134018309</v>
      </c>
      <c r="J370" s="1185">
        <f>J$157</f>
        <v>4595.529882785002</v>
      </c>
      <c r="K370" s="1185">
        <f>J$158</f>
        <v>-928.93557540700056</v>
      </c>
      <c r="L370" s="1185">
        <f t="shared" si="208"/>
        <v>3666.5943073780013</v>
      </c>
      <c r="M370" s="1185">
        <f>J$221</f>
        <v>111111.31117220761</v>
      </c>
      <c r="N370" s="1185">
        <f>J$222</f>
        <v>-36040.200925111945</v>
      </c>
      <c r="O370" s="1185">
        <f t="shared" si="209"/>
        <v>75071.110247095668</v>
      </c>
      <c r="P370" s="1185">
        <f>J$283</f>
        <v>129294.72430097527</v>
      </c>
      <c r="Q370" s="1185">
        <f>J$284</f>
        <v>-97364.702050666965</v>
      </c>
      <c r="R370" s="1185">
        <f t="shared" si="210"/>
        <v>31930.022250308306</v>
      </c>
      <c r="S370" s="1185">
        <f>J$345</f>
        <v>6738.6440649263577</v>
      </c>
      <c r="T370" s="1185">
        <f>J$346</f>
        <v>-5776.6359632010308</v>
      </c>
      <c r="U370" s="1185">
        <f t="shared" si="211"/>
        <v>962.00810172532692</v>
      </c>
      <c r="V370" s="1323">
        <f t="shared" si="212"/>
        <v>251740.20942089427</v>
      </c>
      <c r="W370" s="1323">
        <f t="shared" si="213"/>
        <v>-140110.47451438694</v>
      </c>
      <c r="X370" s="1323">
        <f t="shared" si="214"/>
        <v>111629.73490650734</v>
      </c>
      <c r="Y370" s="1181"/>
      <c r="Z370" s="1324"/>
      <c r="AA370" s="1146"/>
      <c r="AB370" s="1146"/>
      <c r="AC370" s="1064"/>
    </row>
    <row r="371" spans="1:29" s="1066" customFormat="1" ht="14.25" x14ac:dyDescent="0.25">
      <c r="A371" s="1064"/>
      <c r="D371" s="1178"/>
      <c r="E371" s="987">
        <v>11</v>
      </c>
      <c r="F371" s="988">
        <f t="shared" si="215"/>
        <v>2030</v>
      </c>
      <c r="G371" s="1185">
        <v>1479490.0634115515</v>
      </c>
      <c r="H371" s="1185">
        <v>-784969.20046688151</v>
      </c>
      <c r="I371" s="1185">
        <f t="shared" si="207"/>
        <v>694520.86294467002</v>
      </c>
      <c r="J371" s="1185">
        <f>K$157</f>
        <v>4724.3160582883511</v>
      </c>
      <c r="K371" s="1185">
        <f>K$158</f>
        <v>-871.1621035596479</v>
      </c>
      <c r="L371" s="1185">
        <f t="shared" si="208"/>
        <v>3853.153954728703</v>
      </c>
      <c r="M371" s="1185">
        <f>K$221</f>
        <v>112519.71553118638</v>
      </c>
      <c r="N371" s="1185">
        <f>K$222</f>
        <v>-33480.514173252974</v>
      </c>
      <c r="O371" s="1185">
        <f t="shared" si="209"/>
        <v>79039.201357933402</v>
      </c>
      <c r="P371" s="1185">
        <f>K$283</f>
        <v>133534.91313649804</v>
      </c>
      <c r="Q371" s="1185">
        <f>K$284</f>
        <v>-94343.160129540163</v>
      </c>
      <c r="R371" s="1185">
        <f t="shared" si="210"/>
        <v>39191.753006957879</v>
      </c>
      <c r="S371" s="1185">
        <f>K$345</f>
        <v>6896.7462664892382</v>
      </c>
      <c r="T371" s="1185">
        <f>K$346</f>
        <v>-5348.9458861431385</v>
      </c>
      <c r="U371" s="1185">
        <f t="shared" si="211"/>
        <v>1547.8003803460997</v>
      </c>
      <c r="V371" s="1323">
        <f t="shared" si="212"/>
        <v>257675.69099246201</v>
      </c>
      <c r="W371" s="1323">
        <f t="shared" si="213"/>
        <v>-134043.78229249592</v>
      </c>
      <c r="X371" s="1323">
        <f t="shared" si="214"/>
        <v>123631.90869996609</v>
      </c>
      <c r="Y371" s="1181"/>
      <c r="Z371" s="1324"/>
      <c r="AA371" s="1146"/>
      <c r="AB371" s="1146"/>
      <c r="AC371" s="1064"/>
    </row>
    <row r="372" spans="1:29" s="1066" customFormat="1" ht="14.25" x14ac:dyDescent="0.25">
      <c r="A372" s="1064"/>
      <c r="D372" s="1178"/>
      <c r="E372" s="987">
        <v>12</v>
      </c>
      <c r="F372" s="988">
        <f t="shared" si="215"/>
        <v>2031</v>
      </c>
      <c r="G372" s="1185">
        <v>1541483.4083823266</v>
      </c>
      <c r="H372" s="1185">
        <v>-728693.58662672807</v>
      </c>
      <c r="I372" s="1185">
        <f t="shared" si="207"/>
        <v>812789.82175559853</v>
      </c>
      <c r="J372" s="1185">
        <f>L$157</f>
        <v>4854.8050989341127</v>
      </c>
      <c r="K372" s="1185">
        <f>L$158</f>
        <v>-811.57495601218545</v>
      </c>
      <c r="L372" s="1185">
        <f t="shared" si="208"/>
        <v>4043.2301429219274</v>
      </c>
      <c r="M372" s="1185">
        <f>L$221</f>
        <v>113944.24072624967</v>
      </c>
      <c r="N372" s="1185">
        <f>L$222</f>
        <v>-30841.224948087256</v>
      </c>
      <c r="O372" s="1185">
        <f t="shared" si="209"/>
        <v>83103.015778162415</v>
      </c>
      <c r="P372" s="1185">
        <f>L$283</f>
        <v>137832.07233572361</v>
      </c>
      <c r="Q372" s="1185">
        <f>L$284</f>
        <v>-91219.580077455903</v>
      </c>
      <c r="R372" s="1185">
        <f t="shared" si="210"/>
        <v>46612.49225826771</v>
      </c>
      <c r="S372" s="1185">
        <f>L$345</f>
        <v>7056.8938646014203</v>
      </c>
      <c r="T372" s="1185">
        <f>L$346</f>
        <v>-4907.9913877819163</v>
      </c>
      <c r="U372" s="1185">
        <f t="shared" si="211"/>
        <v>2148.902476819504</v>
      </c>
      <c r="V372" s="1323">
        <f t="shared" si="212"/>
        <v>263688.01202550886</v>
      </c>
      <c r="W372" s="1323">
        <f t="shared" si="213"/>
        <v>-127780.37136933726</v>
      </c>
      <c r="X372" s="1323">
        <f t="shared" si="214"/>
        <v>135907.6406561716</v>
      </c>
      <c r="Y372" s="1181"/>
      <c r="Z372" s="1324"/>
      <c r="AA372" s="1146"/>
      <c r="AB372" s="1146"/>
      <c r="AC372" s="1064"/>
    </row>
    <row r="373" spans="1:29" s="1066" customFormat="1" ht="14.25" x14ac:dyDescent="0.25">
      <c r="A373" s="1064"/>
      <c r="D373" s="1178"/>
      <c r="E373" s="987">
        <v>13</v>
      </c>
      <c r="F373" s="988">
        <f t="shared" si="215"/>
        <v>2032</v>
      </c>
      <c r="G373" s="1185">
        <v>1605195.4743579319</v>
      </c>
      <c r="H373" s="1185">
        <v>-667814.73111220426</v>
      </c>
      <c r="I373" s="1185">
        <f t="shared" si="207"/>
        <v>937380.74324572762</v>
      </c>
      <c r="J373" s="1185">
        <f>M$157</f>
        <v>4987.0187078543422</v>
      </c>
      <c r="K373" s="1185">
        <f>M$158</f>
        <v>-750.12999775987328</v>
      </c>
      <c r="L373" s="1185">
        <f t="shared" si="208"/>
        <v>4236.8887100944685</v>
      </c>
      <c r="M373" s="1185">
        <f>M$221</f>
        <v>115385.07478028706</v>
      </c>
      <c r="N373" s="1185">
        <f>M$222</f>
        <v>-28120.399692499457</v>
      </c>
      <c r="O373" s="1185">
        <f t="shared" si="209"/>
        <v>87264.675087787604</v>
      </c>
      <c r="P373" s="1185">
        <f>M$283</f>
        <v>142186.93429681499</v>
      </c>
      <c r="Q373" s="1185">
        <f>M$284</f>
        <v>-87991.445147148333</v>
      </c>
      <c r="R373" s="1185">
        <f t="shared" si="210"/>
        <v>54195.489149666653</v>
      </c>
      <c r="S373" s="1185">
        <f>M$345</f>
        <v>7219.1126136238017</v>
      </c>
      <c r="T373" s="1185">
        <f>M$346</f>
        <v>-4453.4504441230056</v>
      </c>
      <c r="U373" s="1185">
        <f t="shared" si="211"/>
        <v>2765.6621695007962</v>
      </c>
      <c r="V373" s="1323">
        <f t="shared" si="212"/>
        <v>269778.14039858017</v>
      </c>
      <c r="W373" s="1323">
        <f t="shared" si="213"/>
        <v>-121315.42528153067</v>
      </c>
      <c r="X373" s="1323">
        <f t="shared" si="214"/>
        <v>148462.71511704952</v>
      </c>
      <c r="Y373" s="1181"/>
      <c r="Z373" s="1324"/>
      <c r="AA373" s="1146"/>
      <c r="AB373" s="1146"/>
      <c r="AC373" s="1064"/>
    </row>
    <row r="374" spans="1:29" s="1066" customFormat="1" ht="14.25" x14ac:dyDescent="0.25">
      <c r="A374" s="1064"/>
      <c r="D374" s="1178"/>
      <c r="E374" s="987">
        <v>14</v>
      </c>
      <c r="F374" s="988">
        <f t="shared" si="215"/>
        <v>2033</v>
      </c>
      <c r="G374" s="1185">
        <v>1670656.5740534766</v>
      </c>
      <c r="H374" s="1185">
        <v>-602167.48027915158</v>
      </c>
      <c r="I374" s="1185">
        <f t="shared" si="207"/>
        <v>1068489.093774325</v>
      </c>
      <c r="J374" s="1185">
        <f>N$157</f>
        <v>5120.9788515511818</v>
      </c>
      <c r="K374" s="1185">
        <f>N$158</f>
        <v>-686.78207983926654</v>
      </c>
      <c r="L374" s="1185">
        <f t="shared" si="208"/>
        <v>4434.1967717119151</v>
      </c>
      <c r="M374" s="1185">
        <f>N$221</f>
        <v>116842.40787321387</v>
      </c>
      <c r="N374" s="1185">
        <f>N$222</f>
        <v>-25316.060449170869</v>
      </c>
      <c r="O374" s="1185">
        <f t="shared" si="209"/>
        <v>91526.347424043008</v>
      </c>
      <c r="P374" s="1185">
        <f>N$283</f>
        <v>146600.24035075912</v>
      </c>
      <c r="Q374" s="1185">
        <f>N$284</f>
        <v>-84656.180567648073</v>
      </c>
      <c r="R374" s="1185">
        <f t="shared" si="210"/>
        <v>61944.05978311105</v>
      </c>
      <c r="S374" s="1185">
        <f>N$345</f>
        <v>7383.4285782024217</v>
      </c>
      <c r="T374" s="1185">
        <f>N$346</f>
        <v>-3984.9936375829393</v>
      </c>
      <c r="U374" s="1185">
        <f t="shared" si="211"/>
        <v>3398.4349406194824</v>
      </c>
      <c r="V374" s="1323">
        <f t="shared" si="212"/>
        <v>275947.05565372662</v>
      </c>
      <c r="W374" s="1323">
        <f t="shared" si="213"/>
        <v>-114644.01673424114</v>
      </c>
      <c r="X374" s="1323">
        <f t="shared" si="214"/>
        <v>161303.03891948547</v>
      </c>
      <c r="Y374" s="1181"/>
      <c r="Z374" s="1324"/>
      <c r="AA374" s="1146"/>
      <c r="AB374" s="1146"/>
      <c r="AC374" s="1064"/>
    </row>
    <row r="375" spans="1:29" s="1066" customFormat="1" ht="14.25" x14ac:dyDescent="0.25">
      <c r="A375" s="1064"/>
      <c r="D375" s="1178"/>
      <c r="E375" s="987">
        <v>15</v>
      </c>
      <c r="F375" s="988">
        <f t="shared" si="215"/>
        <v>2034</v>
      </c>
      <c r="G375" s="1185">
        <v>822064.74405322399</v>
      </c>
      <c r="H375" s="1185">
        <v>-663687.92072970408</v>
      </c>
      <c r="I375" s="1185">
        <f t="shared" si="207"/>
        <v>158376.8233235199</v>
      </c>
      <c r="J375" s="1185">
        <f>O$157</f>
        <v>539.81482087648158</v>
      </c>
      <c r="K375" s="1185">
        <f>O$158</f>
        <v>-1150.4320411199405</v>
      </c>
      <c r="L375" s="1185">
        <f t="shared" si="208"/>
        <v>-610.61722024345897</v>
      </c>
      <c r="M375" s="1185">
        <f>O$221</f>
        <v>132424.19599659264</v>
      </c>
      <c r="N375" s="1185">
        <f>O$222</f>
        <v>-33143.22993107872</v>
      </c>
      <c r="O375" s="1185">
        <f t="shared" si="209"/>
        <v>99280.966065513916</v>
      </c>
      <c r="P375" s="1185">
        <f>O$283</f>
        <v>-49838.393457738144</v>
      </c>
      <c r="Q375" s="1185">
        <f>O$284</f>
        <v>-130016.80432089743</v>
      </c>
      <c r="R375" s="1185">
        <f t="shared" si="210"/>
        <v>-179855.19777863557</v>
      </c>
      <c r="S375" s="1185">
        <f>O$345</f>
        <v>3783.7735549284275</v>
      </c>
      <c r="T375" s="1185">
        <f>O$346</f>
        <v>-4102.7979293950511</v>
      </c>
      <c r="U375" s="1185">
        <f t="shared" si="211"/>
        <v>-319.02437446662361</v>
      </c>
      <c r="V375" s="1323">
        <f t="shared" si="212"/>
        <v>86909.390914659409</v>
      </c>
      <c r="W375" s="1323">
        <f t="shared" si="213"/>
        <v>-168413.26422249113</v>
      </c>
      <c r="X375" s="1323">
        <f t="shared" si="214"/>
        <v>-81503.873307831716</v>
      </c>
      <c r="Y375" s="1181"/>
      <c r="Z375" s="1324"/>
      <c r="AA375" s="1146"/>
      <c r="AB375" s="1146"/>
      <c r="AC375" s="1064"/>
    </row>
    <row r="376" spans="1:29" s="1066" customFormat="1" ht="14.25" x14ac:dyDescent="0.25">
      <c r="A376" s="1064"/>
      <c r="D376" s="1178"/>
      <c r="E376" s="987">
        <v>16</v>
      </c>
      <c r="F376" s="988">
        <f t="shared" si="215"/>
        <v>2035</v>
      </c>
      <c r="G376" s="1185">
        <v>870231.84440557251</v>
      </c>
      <c r="H376" s="1185">
        <v>-591034.37383124873</v>
      </c>
      <c r="I376" s="1185">
        <f t="shared" si="207"/>
        <v>279197.47057432379</v>
      </c>
      <c r="J376" s="1185">
        <f>P$157</f>
        <v>647.58333018161477</v>
      </c>
      <c r="K376" s="1185">
        <f>P$158</f>
        <v>-1086.6045286048677</v>
      </c>
      <c r="L376" s="1185">
        <f t="shared" si="208"/>
        <v>-439.02119842325294</v>
      </c>
      <c r="M376" s="1185">
        <f>P$221</f>
        <v>134004.09078707892</v>
      </c>
      <c r="N376" s="1185">
        <f>P$222</f>
        <v>-30235.969991007074</v>
      </c>
      <c r="O376" s="1185">
        <f t="shared" si="209"/>
        <v>103768.12079607185</v>
      </c>
      <c r="P376" s="1185">
        <f>P$283</f>
        <v>-46573.180416462506</v>
      </c>
      <c r="Q376" s="1185">
        <f>P$284</f>
        <v>-126779.11806591833</v>
      </c>
      <c r="R376" s="1185">
        <f t="shared" si="210"/>
        <v>-173352.29848238084</v>
      </c>
      <c r="S376" s="1185">
        <f>P$345</f>
        <v>3928.6088658923886</v>
      </c>
      <c r="T376" s="1185">
        <f>P$346</f>
        <v>-3609.4256175003998</v>
      </c>
      <c r="U376" s="1185">
        <f t="shared" si="211"/>
        <v>319.18324839198885</v>
      </c>
      <c r="V376" s="1323">
        <f t="shared" si="212"/>
        <v>92007.102566690402</v>
      </c>
      <c r="W376" s="1323">
        <f t="shared" si="213"/>
        <v>-161711.1182030307</v>
      </c>
      <c r="X376" s="1323">
        <f t="shared" si="214"/>
        <v>-69704.015636340293</v>
      </c>
      <c r="Y376" s="1181"/>
      <c r="Z376" s="1324"/>
      <c r="AA376" s="1146"/>
      <c r="AB376" s="1146"/>
      <c r="AC376" s="1064"/>
    </row>
    <row r="377" spans="1:29" s="1066" customFormat="1" ht="14.25" x14ac:dyDescent="0.25">
      <c r="A377" s="1064"/>
      <c r="D377" s="1178"/>
      <c r="E377" s="987">
        <v>17</v>
      </c>
      <c r="F377" s="988">
        <f t="shared" si="215"/>
        <v>2036</v>
      </c>
      <c r="G377" s="1185">
        <v>920003.98750451615</v>
      </c>
      <c r="H377" s="1185">
        <v>-513121.56919351465</v>
      </c>
      <c r="I377" s="1185">
        <f t="shared" si="207"/>
        <v>406882.4183110015</v>
      </c>
      <c r="J377" s="1185">
        <f>Q$157</f>
        <v>756.92425654964745</v>
      </c>
      <c r="K377" s="1185">
        <f>Q$158</f>
        <v>-1020.7550045746597</v>
      </c>
      <c r="L377" s="1185">
        <f t="shared" si="208"/>
        <v>-263.83074802501221</v>
      </c>
      <c r="M377" s="1185">
        <f>Q$221</f>
        <v>135601.79102851957</v>
      </c>
      <c r="N377" s="1185">
        <f>Q$222</f>
        <v>-27239.445780165704</v>
      </c>
      <c r="O377" s="1185">
        <f t="shared" si="209"/>
        <v>108362.34524835387</v>
      </c>
      <c r="P377" s="1185">
        <f>Q$283</f>
        <v>-43257.536547891519</v>
      </c>
      <c r="Q377" s="1185">
        <f>Q$284</f>
        <v>-123428.3119265787</v>
      </c>
      <c r="R377" s="1185">
        <f t="shared" si="210"/>
        <v>-166685.8484744702</v>
      </c>
      <c r="S377" s="1185">
        <f>Q$345</f>
        <v>4075.428561701573</v>
      </c>
      <c r="T377" s="1185">
        <f>Q$346</f>
        <v>-3101.1289211985468</v>
      </c>
      <c r="U377" s="1185">
        <f t="shared" si="211"/>
        <v>974.29964050302624</v>
      </c>
      <c r="V377" s="1323">
        <f t="shared" si="212"/>
        <v>97176.607298879273</v>
      </c>
      <c r="W377" s="1323">
        <f t="shared" si="213"/>
        <v>-154789.6416325176</v>
      </c>
      <c r="X377" s="1323">
        <f t="shared" si="214"/>
        <v>-57613.034333638323</v>
      </c>
      <c r="Y377" s="1181"/>
      <c r="Z377" s="1324"/>
      <c r="AA377" s="1146"/>
      <c r="AB377" s="1146"/>
      <c r="AC377" s="1064"/>
    </row>
    <row r="378" spans="1:29" s="1066" customFormat="1" ht="14.25" x14ac:dyDescent="0.25">
      <c r="A378" s="1064"/>
      <c r="D378" s="1178"/>
      <c r="E378" s="987">
        <v>18</v>
      </c>
      <c r="F378" s="988">
        <f t="shared" si="215"/>
        <v>2037</v>
      </c>
      <c r="G378" s="1185">
        <v>1228004.3176011038</v>
      </c>
      <c r="H378" s="1185">
        <v>-429764.45899521559</v>
      </c>
      <c r="I378" s="1185">
        <f t="shared" si="207"/>
        <v>798239.85860588821</v>
      </c>
      <c r="J378" s="1185">
        <f>R$157</f>
        <v>2387.3722609742449</v>
      </c>
      <c r="K378" s="1185">
        <f>R$158</f>
        <v>-952.8341785090372</v>
      </c>
      <c r="L378" s="1185">
        <f t="shared" si="208"/>
        <v>1434.5380824652077</v>
      </c>
      <c r="M378" s="1185">
        <f>R$221</f>
        <v>105977.55877133986</v>
      </c>
      <c r="N378" s="1185">
        <f>R$222</f>
        <v>-24151.494486911626</v>
      </c>
      <c r="O378" s="1185">
        <f t="shared" si="209"/>
        <v>81826.064284428227</v>
      </c>
      <c r="P378" s="1185">
        <f>R$283</f>
        <v>26829.380216029735</v>
      </c>
      <c r="Q378" s="1185">
        <f>R$284</f>
        <v>-119961.57933327723</v>
      </c>
      <c r="R378" s="1185">
        <f t="shared" si="210"/>
        <v>-93132.199117247495</v>
      </c>
      <c r="S378" s="1185">
        <f>R$345</f>
        <v>5103.953090809594</v>
      </c>
      <c r="T378" s="1185">
        <f>R$346</f>
        <v>-2577.5473076195103</v>
      </c>
      <c r="U378" s="1185">
        <f t="shared" si="211"/>
        <v>2526.4057831900836</v>
      </c>
      <c r="V378" s="1323">
        <f t="shared" si="212"/>
        <v>140298.26433915345</v>
      </c>
      <c r="W378" s="1323">
        <f t="shared" si="213"/>
        <v>-147643.4553063174</v>
      </c>
      <c r="X378" s="1323">
        <f t="shared" si="214"/>
        <v>-7345.1909671639442</v>
      </c>
      <c r="Y378" s="1181"/>
      <c r="Z378" s="1324"/>
      <c r="AA378" s="1146"/>
      <c r="AB378" s="1146"/>
      <c r="AC378" s="1064"/>
    </row>
    <row r="379" spans="1:29" s="1066" customFormat="1" ht="14.25" x14ac:dyDescent="0.25">
      <c r="A379" s="1064"/>
      <c r="D379" s="1178"/>
      <c r="E379" s="987">
        <v>19</v>
      </c>
      <c r="F379" s="988">
        <f t="shared" si="215"/>
        <v>2038</v>
      </c>
      <c r="G379" s="1185">
        <v>1307069.3736232524</v>
      </c>
      <c r="H379" s="1185">
        <v>-346015.25282821094</v>
      </c>
      <c r="I379" s="1185">
        <f t="shared" si="207"/>
        <v>961054.12079504144</v>
      </c>
      <c r="J379" s="1185">
        <f>S$157</f>
        <v>2512.6341710509441</v>
      </c>
      <c r="K379" s="1185">
        <f>S$158</f>
        <v>-882.79162696716105</v>
      </c>
      <c r="L379" s="1185">
        <f t="shared" si="208"/>
        <v>1629.8425440837832</v>
      </c>
      <c r="M379" s="1185">
        <f>S$221</f>
        <v>107350.12306482777</v>
      </c>
      <c r="N379" s="1185">
        <f>S$222</f>
        <v>-20969.903667966257</v>
      </c>
      <c r="O379" s="1185">
        <f t="shared" si="209"/>
        <v>86380.219396861517</v>
      </c>
      <c r="P379" s="1185">
        <f>S$283</f>
        <v>30806.175348371249</v>
      </c>
      <c r="Q379" s="1185">
        <f>S$284</f>
        <v>-116376.04891237678</v>
      </c>
      <c r="R379" s="1185">
        <f t="shared" si="210"/>
        <v>-85569.873564005524</v>
      </c>
      <c r="S379" s="1185">
        <f>S$345</f>
        <v>5262.1789010323664</v>
      </c>
      <c r="T379" s="1185">
        <f>S$346</f>
        <v>-2038.3119770105784</v>
      </c>
      <c r="U379" s="1185">
        <f t="shared" si="211"/>
        <v>3223.8669240217878</v>
      </c>
      <c r="V379" s="1323">
        <f t="shared" si="212"/>
        <v>145931.11148528234</v>
      </c>
      <c r="W379" s="1323">
        <f t="shared" si="213"/>
        <v>-140267.05618432077</v>
      </c>
      <c r="X379" s="1323">
        <f t="shared" si="214"/>
        <v>5664.0553009615687</v>
      </c>
      <c r="Y379" s="1181"/>
      <c r="Z379" s="1324"/>
      <c r="AA379" s="1146"/>
      <c r="AB379" s="1146"/>
      <c r="AC379" s="1064"/>
    </row>
    <row r="380" spans="1:29" s="1066" customFormat="1" ht="14.25" x14ac:dyDescent="0.25">
      <c r="A380" s="1064"/>
      <c r="D380" s="1178"/>
      <c r="E380" s="987">
        <v>20</v>
      </c>
      <c r="F380" s="988">
        <f t="shared" si="215"/>
        <v>2039</v>
      </c>
      <c r="G380" s="1185">
        <v>1368739.0865388974</v>
      </c>
      <c r="H380" s="1185">
        <v>-249676.50969827326</v>
      </c>
      <c r="I380" s="1185">
        <f t="shared" si="207"/>
        <v>1119062.5768406242</v>
      </c>
      <c r="J380" s="1185">
        <f>T$157</f>
        <v>2639.6564441897081</v>
      </c>
      <c r="K380" s="1185">
        <f>T$158</f>
        <v>-810.57576796254943</v>
      </c>
      <c r="L380" s="1185">
        <f t="shared" si="208"/>
        <v>1829.0806762271586</v>
      </c>
      <c r="M380" s="1185">
        <f>T$221</f>
        <v>108738.56454248745</v>
      </c>
      <c r="N380" s="1185">
        <f>T$222</f>
        <v>-17692.410126326944</v>
      </c>
      <c r="O380" s="1185">
        <f t="shared" si="209"/>
        <v>91046.154416160512</v>
      </c>
      <c r="P380" s="1185">
        <f>T$283</f>
        <v>34840.95136678181</v>
      </c>
      <c r="Q380" s="1185">
        <f>T$284</f>
        <v>-112668.78301852797</v>
      </c>
      <c r="R380" s="1185">
        <f t="shared" si="210"/>
        <v>-77827.831651746164</v>
      </c>
      <c r="S380" s="1185">
        <f>T$345</f>
        <v>5422.5390585513269</v>
      </c>
      <c r="T380" s="1185">
        <f>T$346</f>
        <v>-1483.0456758777761</v>
      </c>
      <c r="U380" s="1185">
        <f t="shared" si="211"/>
        <v>3939.4933826735505</v>
      </c>
      <c r="V380" s="1323">
        <f t="shared" si="212"/>
        <v>151641.71141201031</v>
      </c>
      <c r="W380" s="1323">
        <f t="shared" si="213"/>
        <v>-132654.81458869524</v>
      </c>
      <c r="X380" s="1323">
        <f t="shared" si="214"/>
        <v>18986.896823315066</v>
      </c>
      <c r="Y380" s="1181"/>
      <c r="Z380" s="1324"/>
      <c r="AA380" s="1146"/>
      <c r="AB380" s="1146"/>
      <c r="AC380" s="1064"/>
    </row>
    <row r="381" spans="1:29" s="1066" customFormat="1" ht="14.25" x14ac:dyDescent="0.25">
      <c r="A381" s="1064"/>
      <c r="D381" s="1178"/>
      <c r="E381" s="987">
        <v>21</v>
      </c>
      <c r="F381" s="988">
        <f t="shared" si="215"/>
        <v>2040</v>
      </c>
      <c r="G381" s="1185">
        <v>1432233.3683146075</v>
      </c>
      <c r="H381" s="1185">
        <v>-703400.22605415306</v>
      </c>
      <c r="I381" s="1185">
        <f t="shared" si="207"/>
        <v>728833.14226045448</v>
      </c>
      <c r="J381" s="1185">
        <f>U$157</f>
        <v>2768.4621795222261</v>
      </c>
      <c r="K381" s="1185">
        <f>U$158</f>
        <v>-1582.5437280022272</v>
      </c>
      <c r="L381" s="1185">
        <f t="shared" si="208"/>
        <v>1185.9184515199988</v>
      </c>
      <c r="M381" s="1185">
        <f>U$221</f>
        <v>110143.06923743084</v>
      </c>
      <c r="N381" s="1185">
        <f>U$222</f>
        <v>-40928.447867841693</v>
      </c>
      <c r="O381" s="1185">
        <f t="shared" si="209"/>
        <v>69214.621369589149</v>
      </c>
      <c r="P381" s="1185">
        <f>U$283</f>
        <v>38934.482767389687</v>
      </c>
      <c r="Q381" s="1185">
        <f>U$284</f>
        <v>-156083.79107621338</v>
      </c>
      <c r="R381" s="1185">
        <f t="shared" si="210"/>
        <v>-117149.3083088237</v>
      </c>
      <c r="S381" s="1185">
        <f>U$345</f>
        <v>5585.0609862884558</v>
      </c>
      <c r="T381" s="1185">
        <f>U$346</f>
        <v>-3576.0212006409038</v>
      </c>
      <c r="U381" s="1185">
        <f t="shared" si="211"/>
        <v>2009.039785647552</v>
      </c>
      <c r="V381" s="1323">
        <f t="shared" si="212"/>
        <v>157431.0751706312</v>
      </c>
      <c r="W381" s="1323">
        <f t="shared" si="213"/>
        <v>-202170.80387269822</v>
      </c>
      <c r="X381" s="1323">
        <f t="shared" si="214"/>
        <v>-44739.728702067019</v>
      </c>
      <c r="Y381" s="1181"/>
      <c r="Z381" s="1324"/>
      <c r="AA381" s="1146"/>
      <c r="AB381" s="1146"/>
      <c r="AC381" s="1064"/>
    </row>
    <row r="382" spans="1:29" s="1066" customFormat="1" ht="14.25" x14ac:dyDescent="0.25">
      <c r="A382" s="1064"/>
      <c r="D382" s="1178"/>
      <c r="E382" s="987">
        <v>22</v>
      </c>
      <c r="F382" s="988">
        <f t="shared" si="215"/>
        <v>2041</v>
      </c>
      <c r="G382" s="1185">
        <v>-370638.36792544596</v>
      </c>
      <c r="H382" s="1185">
        <v>-432068.20124982967</v>
      </c>
      <c r="I382" s="1185">
        <f t="shared" si="207"/>
        <v>-802706.56917527562</v>
      </c>
      <c r="J382" s="1185">
        <f>V$157</f>
        <v>-6122.8020331346706</v>
      </c>
      <c r="K382" s="1185">
        <f>V$158</f>
        <v>-1096.5627493891479</v>
      </c>
      <c r="L382" s="1185">
        <f t="shared" si="208"/>
        <v>-7219.3647825238186</v>
      </c>
      <c r="M382" s="1185">
        <f>V$221</f>
        <v>117339.26621547752</v>
      </c>
      <c r="N382" s="1185">
        <f>V$222</f>
        <v>-26801.423724867996</v>
      </c>
      <c r="O382" s="1185">
        <f t="shared" si="209"/>
        <v>90537.842490609517</v>
      </c>
      <c r="P382" s="1185">
        <f>V$283</f>
        <v>-340874.61745237996</v>
      </c>
      <c r="Q382" s="1185">
        <f>V$284</f>
        <v>-110461.29520288925</v>
      </c>
      <c r="R382" s="1185">
        <f t="shared" si="210"/>
        <v>-451335.9126552692</v>
      </c>
      <c r="S382" s="1185">
        <f>V$345</f>
        <v>-1029.5002022938597</v>
      </c>
      <c r="T382" s="1185">
        <f>V$346</f>
        <v>-2126.3026110286796</v>
      </c>
      <c r="U382" s="1185">
        <f t="shared" si="211"/>
        <v>-3155.8028133225394</v>
      </c>
      <c r="V382" s="1323">
        <f t="shared" si="212"/>
        <v>-230687.65347233097</v>
      </c>
      <c r="W382" s="1323">
        <f t="shared" si="213"/>
        <v>-140485.58428817507</v>
      </c>
      <c r="X382" s="1323">
        <f t="shared" si="214"/>
        <v>-371173.23776050605</v>
      </c>
      <c r="Y382" s="1181"/>
      <c r="Z382" s="1324"/>
      <c r="AA382" s="1146"/>
      <c r="AB382" s="1146"/>
      <c r="AC382" s="1064"/>
    </row>
    <row r="383" spans="1:29" s="1066" customFormat="1" ht="14.25" x14ac:dyDescent="0.25">
      <c r="A383" s="1064"/>
      <c r="D383" s="1178"/>
      <c r="E383" s="987">
        <v>23</v>
      </c>
      <c r="F383" s="988">
        <f t="shared" si="215"/>
        <v>2042</v>
      </c>
      <c r="G383" s="1185">
        <v>-337681.42287765245</v>
      </c>
      <c r="H383" s="1185">
        <v>-317761.20644831267</v>
      </c>
      <c r="I383" s="1185">
        <f t="shared" si="207"/>
        <v>-655442.62932596519</v>
      </c>
      <c r="J383" s="1185">
        <f>W$157</f>
        <v>-6047.9747679137727</v>
      </c>
      <c r="K383" s="1185">
        <f>W$158</f>
        <v>-1013.7661817363276</v>
      </c>
      <c r="L383" s="1185">
        <f t="shared" si="208"/>
        <v>-7061.7409496501004</v>
      </c>
      <c r="M383" s="1185">
        <f>W$221</f>
        <v>118813.34735306886</v>
      </c>
      <c r="N383" s="1185">
        <f>W$222</f>
        <v>-23154.365865645395</v>
      </c>
      <c r="O383" s="1185">
        <f t="shared" si="209"/>
        <v>95658.981487423473</v>
      </c>
      <c r="P383" s="1185">
        <f>W$283</f>
        <v>-339113.28615165688</v>
      </c>
      <c r="Q383" s="1185">
        <f>W$284</f>
        <v>-105738.89866676096</v>
      </c>
      <c r="R383" s="1185">
        <f>SUM(P383:Q383)</f>
        <v>-444852.18481841782</v>
      </c>
      <c r="S383" s="1185">
        <f>W$345</f>
        <v>-905.86516028481878</v>
      </c>
      <c r="T383" s="1185">
        <f>W$346</f>
        <v>-1518.420735759323</v>
      </c>
      <c r="U383" s="1185">
        <f>SUM(S383:T383)</f>
        <v>-2424.2858960441417</v>
      </c>
      <c r="V383" s="1323">
        <f t="shared" si="212"/>
        <v>-227253.77872678661</v>
      </c>
      <c r="W383" s="1323">
        <f t="shared" si="213"/>
        <v>-131425.451449902</v>
      </c>
      <c r="X383" s="1323">
        <f t="shared" si="214"/>
        <v>-358679.23017668864</v>
      </c>
      <c r="Y383" s="1181"/>
      <c r="Z383" s="1324"/>
      <c r="AA383" s="1146"/>
      <c r="AB383" s="1146"/>
      <c r="AC383" s="1064"/>
    </row>
    <row r="384" spans="1:29" s="1066" customFormat="1" ht="14.25" x14ac:dyDescent="0.25">
      <c r="A384" s="1064"/>
      <c r="D384" s="1178"/>
      <c r="E384" s="987">
        <v>24</v>
      </c>
      <c r="F384" s="988">
        <f t="shared" si="215"/>
        <v>2043</v>
      </c>
      <c r="G384" s="1185">
        <v>-308624.35903816321</v>
      </c>
      <c r="H384" s="1185">
        <v>-202972.40957457572</v>
      </c>
      <c r="I384" s="1185">
        <f t="shared" si="207"/>
        <v>-511596.76861273893</v>
      </c>
      <c r="J384" s="1185">
        <f>X$157</f>
        <v>-5971.7616895981582</v>
      </c>
      <c r="K384" s="1185">
        <f>X$158</f>
        <v>-928.40495415952273</v>
      </c>
      <c r="L384" s="1185">
        <f t="shared" si="208"/>
        <v>-6900.1666437576805</v>
      </c>
      <c r="M384" s="1185">
        <f>X$221</f>
        <v>120304.36276069153</v>
      </c>
      <c r="N384" s="1185">
        <f>X$222</f>
        <v>-19397.504794918401</v>
      </c>
      <c r="O384" s="1185">
        <f t="shared" si="209"/>
        <v>100906.85796577312</v>
      </c>
      <c r="P384" s="1185">
        <f>X$283</f>
        <v>-337310.76373668422</v>
      </c>
      <c r="Q384" s="1185">
        <f>X$284</f>
        <v>-100863.16782412551</v>
      </c>
      <c r="R384" s="1185">
        <f>SUM(P384:Q384)</f>
        <v>-438173.93156080972</v>
      </c>
      <c r="S384" s="1185">
        <f>X$345</f>
        <v>-780.33622915599199</v>
      </c>
      <c r="T384" s="1185">
        <f>X$346</f>
        <v>-892.58185666210591</v>
      </c>
      <c r="U384" s="1185">
        <f>SUM(S384:T384)</f>
        <v>-1672.918085818098</v>
      </c>
      <c r="V384" s="1323">
        <f t="shared" si="212"/>
        <v>-223758.49889474688</v>
      </c>
      <c r="W384" s="1323">
        <f t="shared" si="213"/>
        <v>-122081.65942986554</v>
      </c>
      <c r="X384" s="1323">
        <f t="shared" si="214"/>
        <v>-345840.15832461242</v>
      </c>
      <c r="Y384" s="1181"/>
      <c r="Z384" s="1324"/>
      <c r="AA384" s="1146"/>
      <c r="AB384" s="1146"/>
      <c r="AC384" s="1064"/>
    </row>
    <row r="385" spans="1:29" s="1066" customFormat="1" ht="22.5" customHeight="1" x14ac:dyDescent="0.25">
      <c r="A385" s="1064"/>
      <c r="D385" s="1178"/>
      <c r="E385" s="720" t="s">
        <v>314</v>
      </c>
      <c r="F385" s="721"/>
      <c r="G385" s="1186"/>
      <c r="H385" s="1186"/>
      <c r="I385" s="1186"/>
      <c r="J385" s="1186">
        <f t="shared" ref="J385:X385" si="216">SUM(J364:J384)</f>
        <v>117394.27292170278</v>
      </c>
      <c r="K385" s="1186">
        <f t="shared" si="216"/>
        <v>-31425.726375928287</v>
      </c>
      <c r="L385" s="1186">
        <f t="shared" si="216"/>
        <v>85968.546545774501</v>
      </c>
      <c r="M385" s="1186">
        <f t="shared" si="216"/>
        <v>3495187.3255034541</v>
      </c>
      <c r="N385" s="1186">
        <f t="shared" si="216"/>
        <v>-4708234.8141016662</v>
      </c>
      <c r="O385" s="1186">
        <f t="shared" si="216"/>
        <v>-1213047.4885982142</v>
      </c>
      <c r="P385" s="1186">
        <f t="shared" si="216"/>
        <v>1480769.7696811631</v>
      </c>
      <c r="Q385" s="1186">
        <f t="shared" si="216"/>
        <v>-3927602.9912062217</v>
      </c>
      <c r="R385" s="1186">
        <f t="shared" si="216"/>
        <v>-2446833.2215250595</v>
      </c>
      <c r="S385" s="1186">
        <f t="shared" si="216"/>
        <v>154906.34888219851</v>
      </c>
      <c r="T385" s="1186">
        <f t="shared" si="216"/>
        <v>-66603.653263262619</v>
      </c>
      <c r="U385" s="1186">
        <f t="shared" si="216"/>
        <v>88302.695618935875</v>
      </c>
      <c r="V385" s="1186">
        <f t="shared" si="216"/>
        <v>5248257.7169885188</v>
      </c>
      <c r="W385" s="1186">
        <f t="shared" si="216"/>
        <v>-8733867.1849470828</v>
      </c>
      <c r="X385" s="1186">
        <f t="shared" si="216"/>
        <v>-3485609.4679585625</v>
      </c>
      <c r="Y385" s="1181"/>
      <c r="Z385" s="1324"/>
      <c r="AA385" s="1146"/>
      <c r="AB385" s="1325"/>
      <c r="AC385" s="1064"/>
    </row>
    <row r="386" spans="1:29" s="1066" customFormat="1" ht="18" x14ac:dyDescent="0.25">
      <c r="A386" s="1064"/>
      <c r="D386" s="1178"/>
      <c r="E386" s="1187" t="s">
        <v>338</v>
      </c>
      <c r="F386" s="589"/>
      <c r="G386" s="589"/>
      <c r="H386" s="589"/>
      <c r="I386" s="589"/>
      <c r="J386" s="589"/>
      <c r="K386" s="589"/>
      <c r="L386" s="589"/>
      <c r="M386" s="589"/>
      <c r="N386" s="589"/>
      <c r="O386" s="589"/>
      <c r="P386" s="1064"/>
      <c r="Q386" s="1064"/>
      <c r="R386" s="1064"/>
      <c r="S386" s="1064"/>
      <c r="T386" s="1064"/>
      <c r="U386" s="1064"/>
      <c r="V386" s="1064"/>
      <c r="W386" s="1064"/>
      <c r="X386" s="1064"/>
      <c r="Y386" s="1181"/>
      <c r="Z386" s="1064"/>
      <c r="AA386" s="1064"/>
      <c r="AB386" s="1064"/>
      <c r="AC386" s="1064"/>
    </row>
    <row r="387" spans="1:29" s="1066" customFormat="1" ht="15" thickBot="1" x14ac:dyDescent="0.3">
      <c r="A387" s="1064"/>
      <c r="D387" s="1188"/>
      <c r="E387" s="1189"/>
      <c r="F387" s="1189"/>
      <c r="G387" s="1189"/>
      <c r="H387" s="1189"/>
      <c r="I387" s="1189"/>
      <c r="J387" s="1189"/>
      <c r="K387" s="1189"/>
      <c r="L387" s="1189"/>
      <c r="M387" s="1189"/>
      <c r="N387" s="1189"/>
      <c r="O387" s="1189"/>
      <c r="P387" s="1189"/>
      <c r="Q387" s="1189"/>
      <c r="R387" s="1189"/>
      <c r="S387" s="1189"/>
      <c r="T387" s="1189"/>
      <c r="U387" s="1189"/>
      <c r="V387" s="1189"/>
      <c r="W387" s="1189"/>
      <c r="X387" s="1189"/>
      <c r="Y387" s="1190"/>
      <c r="Z387" s="1064"/>
      <c r="AA387" s="1064"/>
      <c r="AB387" s="1064"/>
      <c r="AC387" s="1064"/>
    </row>
    <row r="388" spans="1:29" s="1066" customFormat="1" ht="14.25" x14ac:dyDescent="0.25">
      <c r="A388" s="1064"/>
    </row>
    <row r="389" spans="1:29" s="1066" customFormat="1" ht="14.25" x14ac:dyDescent="0.25">
      <c r="A389" s="1064"/>
      <c r="G389" s="1086" t="str">
        <f>IF(G385=Y94,"OK","Check")</f>
        <v>Check</v>
      </c>
      <c r="H389" s="1086" t="str">
        <f>IF(H385=Y95,"OK","Check")</f>
        <v>Check</v>
      </c>
      <c r="I389" s="1086" t="str">
        <f>IF(I385=Y96,"OK","Check")</f>
        <v>Check</v>
      </c>
      <c r="J389" s="1086" t="str">
        <f>IF(J385=Y157,"OK","Check")</f>
        <v>OK</v>
      </c>
      <c r="K389" s="1086" t="str">
        <f>IF(K385=Y158,"OK","Check")</f>
        <v>OK</v>
      </c>
      <c r="L389" s="1086" t="str">
        <f>IF(L385=Y159,"OK","Check")</f>
        <v>OK</v>
      </c>
      <c r="M389" s="1086" t="str">
        <f>IF(M385=Y221,"OK","Check")</f>
        <v>OK</v>
      </c>
      <c r="N389" s="1086" t="str">
        <f>IF(N385=Y222,"OK","Check")</f>
        <v>OK</v>
      </c>
      <c r="O389" s="1086" t="str">
        <f>IF(O385=Y223,"OK","Check")</f>
        <v>OK</v>
      </c>
      <c r="P389" s="1086" t="str">
        <f>IF(P385=Y283,"OK","Check")</f>
        <v>OK</v>
      </c>
      <c r="Q389" s="1086" t="str">
        <f>IF(Q385=Y284,"OK","Check")</f>
        <v>OK</v>
      </c>
      <c r="R389" s="1086" t="str">
        <f>IF(R385=Y285,"OK","Check")</f>
        <v>OK</v>
      </c>
      <c r="S389" s="1086" t="str">
        <f>IF(S385=Y345,"OK","Check")</f>
        <v>OK</v>
      </c>
      <c r="T389" s="1086" t="str">
        <f>IF(T385=Y346,"OK","Check")</f>
        <v>OK</v>
      </c>
      <c r="U389" s="1086" t="str">
        <f>IF(U385=Y347,"OK","Check")</f>
        <v>OK</v>
      </c>
      <c r="V389" s="1086"/>
    </row>
    <row r="390" spans="1:29" s="1066" customFormat="1" ht="14.25" x14ac:dyDescent="0.25">
      <c r="A390" s="1064"/>
    </row>
    <row r="391" spans="1:29" s="1066" customFormat="1" ht="15" thickBot="1" x14ac:dyDescent="0.3">
      <c r="A391" s="1064"/>
    </row>
    <row r="392" spans="1:29" s="1066" customFormat="1" ht="18.75" thickBot="1" x14ac:dyDescent="0.3">
      <c r="A392" s="1064"/>
      <c r="E392" s="1855" t="s">
        <v>857</v>
      </c>
      <c r="F392" s="1856"/>
      <c r="G392" s="1856"/>
      <c r="H392" s="1856"/>
      <c r="I392" s="1856"/>
      <c r="J392" s="1856"/>
      <c r="K392" s="1856"/>
      <c r="L392" s="1857"/>
    </row>
    <row r="393" spans="1:29" s="1066" customFormat="1" ht="14.25" x14ac:dyDescent="0.25">
      <c r="A393" s="1064"/>
    </row>
    <row r="394" spans="1:29" s="1066" customFormat="1" ht="15.75" x14ac:dyDescent="0.25">
      <c r="A394" s="1064"/>
      <c r="E394" s="1180" t="s">
        <v>182</v>
      </c>
      <c r="F394" s="1180" t="s">
        <v>180</v>
      </c>
      <c r="G394" s="1180" t="s">
        <v>178</v>
      </c>
      <c r="H394" s="1180" t="s">
        <v>268</v>
      </c>
      <c r="I394" s="1180" t="s">
        <v>269</v>
      </c>
      <c r="J394" s="1180" t="s">
        <v>270</v>
      </c>
      <c r="K394" s="1180" t="s">
        <v>271</v>
      </c>
      <c r="L394" s="1180" t="s">
        <v>272</v>
      </c>
    </row>
    <row r="395" spans="1:29" s="1066" customFormat="1" ht="38.25" x14ac:dyDescent="0.25">
      <c r="A395" s="1064"/>
      <c r="E395" s="1184" t="s">
        <v>7</v>
      </c>
      <c r="F395" s="1184" t="s">
        <v>275</v>
      </c>
      <c r="G395" s="1183" t="s">
        <v>332</v>
      </c>
      <c r="H395" s="1183" t="s">
        <v>333</v>
      </c>
      <c r="I395" s="1183" t="s">
        <v>334</v>
      </c>
      <c r="J395" s="1183" t="s">
        <v>335</v>
      </c>
      <c r="K395" s="1183" t="s">
        <v>360</v>
      </c>
      <c r="L395" s="1419" t="s">
        <v>336</v>
      </c>
    </row>
    <row r="396" spans="1:29" s="1066" customFormat="1" x14ac:dyDescent="0.3">
      <c r="A396" s="1064"/>
      <c r="E396" s="987">
        <v>4</v>
      </c>
      <c r="F396" s="988">
        <v>2023</v>
      </c>
      <c r="G396" s="1185">
        <f t="array" ref="G396:G416">TRANSPOSE(D100:X100)</f>
        <v>15903463.813783027</v>
      </c>
      <c r="H396" s="1185">
        <f t="array" ref="H396:H416">TRANSPOSE(D164:X164)</f>
        <v>402332.78075523727</v>
      </c>
      <c r="I396" s="1185">
        <f t="array" ref="I396:I416">TRANSPOSE(D228:X228)</f>
        <v>5852040.7842276767</v>
      </c>
      <c r="J396" s="1185">
        <f t="array" ref="J396:J416">TRANSPOSE(D290:X290)</f>
        <v>9153793.6361139845</v>
      </c>
      <c r="K396" s="1185">
        <f t="array" ref="K396:K416">TRANSPOSE(D353:X353)</f>
        <v>256672.3112708494</v>
      </c>
      <c r="L396" s="1185">
        <f t="shared" ref="L396:L398" si="217">SUM(H396:K396)</f>
        <v>15664839.51236775</v>
      </c>
    </row>
    <row r="397" spans="1:29" s="1066" customFormat="1" x14ac:dyDescent="0.3">
      <c r="A397" s="1064"/>
      <c r="E397" s="987">
        <v>5</v>
      </c>
      <c r="F397" s="988">
        <f>F396+1</f>
        <v>2024</v>
      </c>
      <c r="G397" s="1185">
        <v>16427282.049043505</v>
      </c>
      <c r="H397" s="1185">
        <v>408168.87812390015</v>
      </c>
      <c r="I397" s="1185">
        <v>5959317.0647919122</v>
      </c>
      <c r="J397" s="1185">
        <v>9680252.3956357203</v>
      </c>
      <c r="K397" s="1185">
        <v>258875.25936188592</v>
      </c>
      <c r="L397" s="1185">
        <f t="shared" si="217"/>
        <v>16306613.597913418</v>
      </c>
    </row>
    <row r="398" spans="1:29" s="1066" customFormat="1" x14ac:dyDescent="0.3">
      <c r="A398" s="1064"/>
      <c r="E398" s="987">
        <v>6</v>
      </c>
      <c r="F398" s="988">
        <f t="shared" ref="F398:F416" si="218">F397+1</f>
        <v>2025</v>
      </c>
      <c r="G398" s="1185">
        <v>14039586.100062929</v>
      </c>
      <c r="H398" s="1185">
        <v>46618.054703348818</v>
      </c>
      <c r="I398" s="1185">
        <v>448624.60486462078</v>
      </c>
      <c r="J398" s="1185">
        <v>1720756.8704177693</v>
      </c>
      <c r="K398" s="1185">
        <v>77562.222047914867</v>
      </c>
      <c r="L398" s="1185">
        <f t="shared" si="217"/>
        <v>2293561.7520336537</v>
      </c>
    </row>
    <row r="399" spans="1:29" s="1066" customFormat="1" x14ac:dyDescent="0.3">
      <c r="A399" s="1064"/>
      <c r="E399" s="987">
        <v>7</v>
      </c>
      <c r="F399" s="988">
        <f t="shared" si="218"/>
        <v>2026</v>
      </c>
      <c r="G399" s="1185">
        <v>14399815.94134156</v>
      </c>
      <c r="H399" s="1185">
        <v>46908.714872792261</v>
      </c>
      <c r="I399" s="1185">
        <v>451470.04728420428</v>
      </c>
      <c r="J399" s="1185">
        <v>1731520.3743250177</v>
      </c>
      <c r="K399" s="1185">
        <v>76590.552353368679</v>
      </c>
      <c r="L399" s="1185">
        <f>SUM(H399:K399)</f>
        <v>2306489.6888353829</v>
      </c>
    </row>
    <row r="400" spans="1:29" s="1066" customFormat="1" x14ac:dyDescent="0.3">
      <c r="A400" s="1064"/>
      <c r="E400" s="987">
        <v>8</v>
      </c>
      <c r="F400" s="988">
        <f t="shared" si="218"/>
        <v>2027</v>
      </c>
      <c r="G400" s="1185">
        <v>14764152.462327138</v>
      </c>
      <c r="H400" s="1185">
        <v>47201.687751406709</v>
      </c>
      <c r="I400" s="1185">
        <v>454336.73087583249</v>
      </c>
      <c r="J400" s="1185">
        <v>1742368.5151271739</v>
      </c>
      <c r="K400" s="1185">
        <v>78548.52182032683</v>
      </c>
      <c r="L400" s="1185">
        <f t="shared" ref="L400:L416" si="219">SUM(H400:K400)</f>
        <v>2322455.4555747397</v>
      </c>
    </row>
    <row r="401" spans="1:12" s="1066" customFormat="1" x14ac:dyDescent="0.3">
      <c r="A401" s="1064"/>
      <c r="E401" s="987">
        <v>9</v>
      </c>
      <c r="F401" s="988">
        <f t="shared" si="218"/>
        <v>2028</v>
      </c>
      <c r="G401" s="1185">
        <v>15132640.264242413</v>
      </c>
      <c r="H401" s="1185">
        <v>47496.992331319059</v>
      </c>
      <c r="I401" s="1185">
        <v>457224.81923742773</v>
      </c>
      <c r="J401" s="1185">
        <v>1753301.9800811338</v>
      </c>
      <c r="K401" s="1185">
        <v>79047.228913657818</v>
      </c>
      <c r="L401" s="1185">
        <f t="shared" si="219"/>
        <v>2337071.0205635387</v>
      </c>
    </row>
    <row r="402" spans="1:12" s="1066" customFormat="1" x14ac:dyDescent="0.3">
      <c r="A402" s="1064"/>
      <c r="E402" s="987">
        <v>10</v>
      </c>
      <c r="F402" s="988">
        <f t="shared" si="218"/>
        <v>2029</v>
      </c>
      <c r="G402" s="1185">
        <v>16186481.480889905</v>
      </c>
      <c r="H402" s="1185">
        <v>49821.542952003801</v>
      </c>
      <c r="I402" s="1185">
        <v>453561.91452047706</v>
      </c>
      <c r="J402" s="1185">
        <v>1894943.4161123657</v>
      </c>
      <c r="K402" s="1185">
        <v>85629.551024383225</v>
      </c>
      <c r="L402" s="1185">
        <f t="shared" si="219"/>
        <v>2483956.4246092299</v>
      </c>
    </row>
    <row r="403" spans="1:12" s="1066" customFormat="1" x14ac:dyDescent="0.3">
      <c r="A403" s="1064"/>
      <c r="E403" s="987">
        <v>11</v>
      </c>
      <c r="F403" s="988">
        <f t="shared" si="218"/>
        <v>2030</v>
      </c>
      <c r="G403" s="1185">
        <v>16881558.170727599</v>
      </c>
      <c r="H403" s="1185">
        <v>50134.423840357231</v>
      </c>
      <c r="I403" s="1185">
        <v>456460.71853991842</v>
      </c>
      <c r="J403" s="1185">
        <v>1906885.8690980705</v>
      </c>
      <c r="K403" s="1185">
        <v>86175.331966626953</v>
      </c>
      <c r="L403" s="1185">
        <f t="shared" si="219"/>
        <v>2499656.3434449732</v>
      </c>
    </row>
    <row r="404" spans="1:12" s="1066" customFormat="1" x14ac:dyDescent="0.3">
      <c r="A404" s="1064"/>
      <c r="E404" s="987">
        <v>12</v>
      </c>
      <c r="F404" s="988">
        <f t="shared" si="218"/>
        <v>2031</v>
      </c>
      <c r="G404" s="1185">
        <v>17286894.023071099</v>
      </c>
      <c r="H404" s="1185">
        <v>50449.79231333005</v>
      </c>
      <c r="I404" s="1185">
        <v>459380.87472380034</v>
      </c>
      <c r="J404" s="1185">
        <v>1918921.854625639</v>
      </c>
      <c r="K404" s="1185">
        <v>86725.182417605465</v>
      </c>
      <c r="L404" s="1185">
        <f t="shared" si="219"/>
        <v>2515477.7040803749</v>
      </c>
    </row>
    <row r="405" spans="1:12" s="1066" customFormat="1" x14ac:dyDescent="0.3">
      <c r="A405" s="1064"/>
      <c r="E405" s="987">
        <v>13</v>
      </c>
      <c r="F405" s="988">
        <f t="shared" si="218"/>
        <v>2032</v>
      </c>
      <c r="G405" s="1185">
        <v>17696837.818365555</v>
      </c>
      <c r="H405" s="1185">
        <v>50767.668769132142</v>
      </c>
      <c r="I405" s="1185">
        <v>462322.54507186986</v>
      </c>
      <c r="J405" s="1185">
        <v>1931052.1287219045</v>
      </c>
      <c r="K405" s="1185">
        <v>87279.13366429547</v>
      </c>
      <c r="L405" s="1185">
        <f t="shared" si="219"/>
        <v>2531421.476227202</v>
      </c>
    </row>
    <row r="406" spans="1:12" s="1066" customFormat="1" x14ac:dyDescent="0.3">
      <c r="A406" s="1064"/>
      <c r="E406" s="987">
        <v>14</v>
      </c>
      <c r="F406" s="988">
        <f t="shared" si="218"/>
        <v>2033</v>
      </c>
      <c r="G406" s="1185">
        <v>18111439.17145801</v>
      </c>
      <c r="H406" s="1185">
        <v>51088.073774317825</v>
      </c>
      <c r="I406" s="1185">
        <v>465285.89283232752</v>
      </c>
      <c r="J406" s="1185">
        <v>1943277.4535791248</v>
      </c>
      <c r="K406" s="1185">
        <v>87837.217237794583</v>
      </c>
      <c r="L406" s="1185">
        <f t="shared" si="219"/>
        <v>2547488.6374235647</v>
      </c>
    </row>
    <row r="407" spans="1:12" s="1066" customFormat="1" x14ac:dyDescent="0.3">
      <c r="A407" s="1064"/>
      <c r="E407" s="987">
        <v>15</v>
      </c>
      <c r="F407" s="988">
        <f t="shared" si="218"/>
        <v>2034</v>
      </c>
      <c r="G407" s="1185">
        <v>19578687.049654804</v>
      </c>
      <c r="H407" s="1185">
        <v>56656.868031992606</v>
      </c>
      <c r="I407" s="1185">
        <v>464880.36495568487</v>
      </c>
      <c r="J407" s="1185">
        <v>2205315.384019244</v>
      </c>
      <c r="K407" s="1185">
        <v>92766.073436776132</v>
      </c>
      <c r="L407" s="1185">
        <f t="shared" si="219"/>
        <v>2819618.6904436974</v>
      </c>
    </row>
    <row r="408" spans="1:12" s="1066" customFormat="1" x14ac:dyDescent="0.3">
      <c r="A408" s="1064"/>
      <c r="E408" s="987">
        <v>16</v>
      </c>
      <c r="F408" s="988">
        <f t="shared" si="218"/>
        <v>2035</v>
      </c>
      <c r="G408" s="1185">
        <v>20026684.811547115</v>
      </c>
      <c r="H408" s="1185">
        <v>57015.610130921013</v>
      </c>
      <c r="I408" s="1185">
        <v>467868.80179175833</v>
      </c>
      <c r="J408" s="1185">
        <v>2219320.1639640047</v>
      </c>
      <c r="K408" s="1185">
        <v>93360.206668354294</v>
      </c>
      <c r="L408" s="1185">
        <f t="shared" si="219"/>
        <v>2837564.7825550381</v>
      </c>
    </row>
    <row r="409" spans="1:12" s="1066" customFormat="1" x14ac:dyDescent="0.3">
      <c r="A409" s="1064"/>
      <c r="E409" s="987">
        <v>17</v>
      </c>
      <c r="F409" s="988">
        <f t="shared" si="218"/>
        <v>2036</v>
      </c>
      <c r="G409" s="1185">
        <v>20479764.099108059</v>
      </c>
      <c r="H409" s="1185">
        <v>57377.207841970623</v>
      </c>
      <c r="I409" s="1185">
        <v>470879.15083057538</v>
      </c>
      <c r="J409" s="1185">
        <v>2233434.706156502</v>
      </c>
      <c r="K409" s="1185">
        <v>93958.78701015118</v>
      </c>
      <c r="L409" s="1185">
        <f t="shared" si="219"/>
        <v>2855649.8518391987</v>
      </c>
    </row>
    <row r="410" spans="1:12" s="1066" customFormat="1" x14ac:dyDescent="0.3">
      <c r="A410" s="1064"/>
      <c r="E410" s="987">
        <v>18</v>
      </c>
      <c r="F410" s="988">
        <f t="shared" si="218"/>
        <v>2037</v>
      </c>
      <c r="G410" s="1185">
        <v>20937979.603316981</v>
      </c>
      <c r="H410" s="1185">
        <v>57741.684586636518</v>
      </c>
      <c r="I410" s="1185">
        <v>473911.57738980179</v>
      </c>
      <c r="J410" s="1185">
        <v>2247659.8976755184</v>
      </c>
      <c r="K410" s="1185">
        <v>94561.848769906719</v>
      </c>
      <c r="L410" s="1185">
        <f t="shared" si="219"/>
        <v>2873875.0084218634</v>
      </c>
    </row>
    <row r="411" spans="1:12" s="1066" customFormat="1" x14ac:dyDescent="0.3">
      <c r="A411" s="1064"/>
      <c r="E411" s="987">
        <v>19</v>
      </c>
      <c r="F411" s="988">
        <f t="shared" si="218"/>
        <v>2038</v>
      </c>
      <c r="G411" s="1185">
        <v>21730638.670502391</v>
      </c>
      <c r="H411" s="1185">
        <v>58109.06397973132</v>
      </c>
      <c r="I411" s="1185">
        <v>476966.24805425346</v>
      </c>
      <c r="J411" s="1185">
        <v>2261996.6328325556</v>
      </c>
      <c r="K411" s="1185">
        <v>95169.426523884846</v>
      </c>
      <c r="L411" s="1185">
        <f t="shared" si="219"/>
        <v>2892241.3713904251</v>
      </c>
    </row>
    <row r="412" spans="1:12" s="1066" customFormat="1" x14ac:dyDescent="0.3">
      <c r="A412" s="1064"/>
      <c r="E412" s="987">
        <v>20</v>
      </c>
      <c r="F412" s="988">
        <f t="shared" si="218"/>
        <v>2039</v>
      </c>
      <c r="G412" s="1185">
        <v>22201405.056983452</v>
      </c>
      <c r="H412" s="1185">
        <v>58479.369830986194</v>
      </c>
      <c r="I412" s="1185">
        <v>480043.33068574249</v>
      </c>
      <c r="J412" s="1185">
        <v>2276445.8132311441</v>
      </c>
      <c r="K412" s="1185">
        <v>95781.555118999706</v>
      </c>
      <c r="L412" s="1185">
        <f t="shared" si="219"/>
        <v>2910750.0688668727</v>
      </c>
    </row>
    <row r="413" spans="1:12" s="1066" customFormat="1" x14ac:dyDescent="0.3">
      <c r="A413" s="1064"/>
      <c r="E413" s="987">
        <v>21</v>
      </c>
      <c r="F413" s="988">
        <f t="shared" si="218"/>
        <v>2040</v>
      </c>
      <c r="G413" s="1185">
        <v>23233630.853371374</v>
      </c>
      <c r="H413" s="1185">
        <v>59699.036039906212</v>
      </c>
      <c r="I413" s="1185">
        <v>509754.74353692279</v>
      </c>
      <c r="J413" s="1185">
        <v>2338255.3626689054</v>
      </c>
      <c r="K413" s="1185">
        <v>99062.928369678688</v>
      </c>
      <c r="L413" s="1185">
        <f t="shared" si="219"/>
        <v>3006772.0706154131</v>
      </c>
    </row>
    <row r="414" spans="1:12" s="1066" customFormat="1" x14ac:dyDescent="0.3">
      <c r="A414" s="1064"/>
      <c r="E414" s="987">
        <v>22</v>
      </c>
      <c r="F414" s="988">
        <f t="shared" si="218"/>
        <v>2041</v>
      </c>
      <c r="G414" s="1185">
        <v>25595193.489219587</v>
      </c>
      <c r="H414" s="1185">
        <v>69102.689946971062</v>
      </c>
      <c r="I414" s="1185">
        <v>507276.09230633703</v>
      </c>
      <c r="J414" s="1185">
        <v>2737203.9265770921</v>
      </c>
      <c r="K414" s="1185">
        <v>106480.99718769596</v>
      </c>
      <c r="L414" s="1185">
        <f t="shared" si="219"/>
        <v>3420063.7060180963</v>
      </c>
    </row>
    <row r="415" spans="1:12" s="1066" customFormat="1" x14ac:dyDescent="0.3">
      <c r="A415" s="1064"/>
      <c r="E415" s="987">
        <v>23</v>
      </c>
      <c r="F415" s="988">
        <f t="shared" si="218"/>
        <v>2042</v>
      </c>
      <c r="G415" s="1185">
        <v>25759945.873419195</v>
      </c>
      <c r="H415" s="1185">
        <v>69545.118308558624</v>
      </c>
      <c r="I415" s="1185">
        <v>510560.06454859884</v>
      </c>
      <c r="J415" s="1185">
        <v>2754759.6153702908</v>
      </c>
      <c r="K415" s="1185">
        <v>107167.85883345125</v>
      </c>
      <c r="L415" s="1185">
        <f t="shared" si="219"/>
        <v>3442032.6570608993</v>
      </c>
    </row>
    <row r="416" spans="1:12" s="1066" customFormat="1" x14ac:dyDescent="0.3">
      <c r="A416" s="1064"/>
      <c r="E416" s="987">
        <v>24</v>
      </c>
      <c r="F416" s="988">
        <f t="shared" si="218"/>
        <v>2043</v>
      </c>
      <c r="G416" s="1185">
        <v>26301696.188731324</v>
      </c>
      <c r="H416" s="1185">
        <v>69991.075596813564</v>
      </c>
      <c r="I416" s="1185">
        <v>513867.98323257547</v>
      </c>
      <c r="J416" s="1185">
        <v>2772453.4178907853</v>
      </c>
      <c r="K416" s="1185">
        <v>107859.8807859977</v>
      </c>
      <c r="L416" s="1185">
        <f t="shared" si="219"/>
        <v>3464172.3575061718</v>
      </c>
    </row>
    <row r="417" spans="1:12" s="1066" customFormat="1" x14ac:dyDescent="0.3">
      <c r="A417" s="1064"/>
      <c r="E417" s="720" t="s">
        <v>314</v>
      </c>
      <c r="F417" s="721"/>
      <c r="G417" s="1186">
        <f>SUM(G396:G416)</f>
        <v>402675776.99116707</v>
      </c>
      <c r="H417" s="1186">
        <f t="shared" ref="H417:L417" si="220">SUM(H396:H416)</f>
        <v>1864706.3344816333</v>
      </c>
      <c r="I417" s="1186">
        <f t="shared" si="220"/>
        <v>20796034.354302324</v>
      </c>
      <c r="J417" s="1186">
        <f t="shared" si="220"/>
        <v>59423919.414223939</v>
      </c>
      <c r="K417" s="1186">
        <f t="shared" si="220"/>
        <v>2247112.0747836055</v>
      </c>
      <c r="L417" s="1186">
        <f t="shared" si="220"/>
        <v>84331772.177791491</v>
      </c>
    </row>
    <row r="418" spans="1:12" s="1066" customFormat="1" x14ac:dyDescent="0.3">
      <c r="A418" s="1064"/>
      <c r="E418" s="1794" t="s">
        <v>861</v>
      </c>
      <c r="F418" s="1794"/>
      <c r="G418" s="1408">
        <f>G416-G399</f>
        <v>11901880.247389764</v>
      </c>
      <c r="J418" s="1827" t="s">
        <v>904</v>
      </c>
      <c r="K418" s="1827"/>
      <c r="L418" s="1483">
        <f>L416-L396</f>
        <v>-12200667.154861577</v>
      </c>
    </row>
    <row r="419" spans="1:12" s="1066" customFormat="1" x14ac:dyDescent="0.3">
      <c r="A419" s="1064"/>
      <c r="E419" s="1794" t="s">
        <v>866</v>
      </c>
      <c r="F419" s="1794"/>
      <c r="G419" s="1408">
        <f>G418/(2040-2023+1)</f>
        <v>661215.56929943128</v>
      </c>
      <c r="J419" s="1794" t="s">
        <v>866</v>
      </c>
      <c r="K419" s="1794"/>
      <c r="L419" s="1408">
        <f>L418/21</f>
        <v>-580984.15023150365</v>
      </c>
    </row>
    <row r="420" spans="1:12" s="1066" customFormat="1" x14ac:dyDescent="0.3">
      <c r="A420" s="1064"/>
    </row>
    <row r="421" spans="1:12" s="1066" customFormat="1" x14ac:dyDescent="0.3">
      <c r="A421" s="1064"/>
    </row>
    <row r="422" spans="1:12" s="1066" customFormat="1" x14ac:dyDescent="0.3">
      <c r="A422" s="1064"/>
    </row>
    <row r="423" spans="1:12" s="1066" customFormat="1" x14ac:dyDescent="0.3">
      <c r="A423" s="1064"/>
    </row>
    <row r="424" spans="1:12" s="1066" customFormat="1" x14ac:dyDescent="0.3">
      <c r="A424" s="1064"/>
    </row>
    <row r="425" spans="1:12" s="1066" customFormat="1" x14ac:dyDescent="0.3">
      <c r="A425" s="1064"/>
    </row>
    <row r="426" spans="1:12" s="1066" customFormat="1" x14ac:dyDescent="0.3">
      <c r="A426" s="1064"/>
    </row>
    <row r="427" spans="1:12" s="1066" customFormat="1" x14ac:dyDescent="0.3">
      <c r="A427" s="1064"/>
    </row>
    <row r="428" spans="1:12" s="1066" customFormat="1" x14ac:dyDescent="0.3">
      <c r="A428" s="1064"/>
    </row>
    <row r="429" spans="1:12" s="1066" customFormat="1" x14ac:dyDescent="0.3">
      <c r="A429" s="1064"/>
    </row>
    <row r="430" spans="1:12" s="1066" customFormat="1" x14ac:dyDescent="0.3">
      <c r="A430" s="1064"/>
    </row>
    <row r="431" spans="1:12" s="1066" customFormat="1" x14ac:dyDescent="0.3">
      <c r="A431" s="1064"/>
    </row>
    <row r="432" spans="1:12" s="1066" customFormat="1" x14ac:dyDescent="0.3">
      <c r="A432" s="1064"/>
    </row>
    <row r="433" spans="1:1" s="1066" customFormat="1" x14ac:dyDescent="0.3">
      <c r="A433" s="1064"/>
    </row>
    <row r="434" spans="1:1" s="1066" customFormat="1" x14ac:dyDescent="0.3">
      <c r="A434" s="1064"/>
    </row>
    <row r="435" spans="1:1" s="1066" customFormat="1" x14ac:dyDescent="0.3">
      <c r="A435" s="1064"/>
    </row>
    <row r="436" spans="1:1" s="1066" customFormat="1" x14ac:dyDescent="0.3">
      <c r="A436" s="1064"/>
    </row>
    <row r="437" spans="1:1" s="1066" customFormat="1" x14ac:dyDescent="0.3">
      <c r="A437" s="1064"/>
    </row>
    <row r="438" spans="1:1" s="1066" customFormat="1" x14ac:dyDescent="0.3">
      <c r="A438" s="1064"/>
    </row>
    <row r="439" spans="1:1" s="1066" customFormat="1" x14ac:dyDescent="0.3">
      <c r="A439" s="1064"/>
    </row>
    <row r="440" spans="1:1" s="1066" customFormat="1" x14ac:dyDescent="0.3">
      <c r="A440" s="1064"/>
    </row>
    <row r="441" spans="1:1" s="1066" customFormat="1" x14ac:dyDescent="0.3">
      <c r="A441" s="1064"/>
    </row>
    <row r="442" spans="1:1" s="1066" customFormat="1" x14ac:dyDescent="0.3">
      <c r="A442" s="1064"/>
    </row>
    <row r="443" spans="1:1" s="1066" customFormat="1" x14ac:dyDescent="0.3">
      <c r="A443" s="1064"/>
    </row>
    <row r="444" spans="1:1" s="1066" customFormat="1" x14ac:dyDescent="0.3">
      <c r="A444" s="1064"/>
    </row>
    <row r="445" spans="1:1" s="1066" customFormat="1" x14ac:dyDescent="0.3">
      <c r="A445" s="1064"/>
    </row>
    <row r="446" spans="1:1" s="1066" customFormat="1" x14ac:dyDescent="0.3">
      <c r="A446" s="1064"/>
    </row>
    <row r="447" spans="1:1" s="1066" customFormat="1" x14ac:dyDescent="0.3">
      <c r="A447" s="1064"/>
    </row>
    <row r="448" spans="1:1" s="1066" customFormat="1" x14ac:dyDescent="0.3">
      <c r="A448" s="1064"/>
    </row>
    <row r="449" spans="1:1" s="1066" customFormat="1" x14ac:dyDescent="0.3">
      <c r="A449" s="1064"/>
    </row>
    <row r="450" spans="1:1" s="1066" customFormat="1" x14ac:dyDescent="0.3">
      <c r="A450" s="1064"/>
    </row>
    <row r="451" spans="1:1" s="1066" customFormat="1" x14ac:dyDescent="0.3">
      <c r="A451" s="1064"/>
    </row>
    <row r="452" spans="1:1" s="1066" customFormat="1" x14ac:dyDescent="0.3">
      <c r="A452" s="1064"/>
    </row>
    <row r="453" spans="1:1" s="1066" customFormat="1" x14ac:dyDescent="0.3">
      <c r="A453" s="1064"/>
    </row>
    <row r="454" spans="1:1" s="1066" customFormat="1" x14ac:dyDescent="0.3">
      <c r="A454" s="1064"/>
    </row>
    <row r="455" spans="1:1" s="1066" customFormat="1" x14ac:dyDescent="0.3">
      <c r="A455" s="1064"/>
    </row>
    <row r="456" spans="1:1" s="1066" customFormat="1" x14ac:dyDescent="0.3">
      <c r="A456" s="1064"/>
    </row>
    <row r="457" spans="1:1" s="1066" customFormat="1" x14ac:dyDescent="0.3">
      <c r="A457" s="1064"/>
    </row>
    <row r="458" spans="1:1" s="1066" customFormat="1" x14ac:dyDescent="0.3">
      <c r="A458" s="1064"/>
    </row>
    <row r="459" spans="1:1" s="1066" customFormat="1" x14ac:dyDescent="0.3">
      <c r="A459" s="1064"/>
    </row>
    <row r="460" spans="1:1" s="1066" customFormat="1" x14ac:dyDescent="0.3">
      <c r="A460" s="1064"/>
    </row>
    <row r="461" spans="1:1" s="1066" customFormat="1" x14ac:dyDescent="0.3">
      <c r="A461" s="1064"/>
    </row>
    <row r="462" spans="1:1" s="1066" customFormat="1" x14ac:dyDescent="0.3">
      <c r="A462" s="1064"/>
    </row>
    <row r="463" spans="1:1" s="1066" customFormat="1" x14ac:dyDescent="0.3">
      <c r="A463" s="1064"/>
    </row>
    <row r="464" spans="1:1" s="1066" customFormat="1" x14ac:dyDescent="0.3">
      <c r="A464" s="1064"/>
    </row>
    <row r="465" spans="1:1" s="1066" customFormat="1" x14ac:dyDescent="0.3">
      <c r="A465" s="1064"/>
    </row>
    <row r="466" spans="1:1" s="1066" customFormat="1" x14ac:dyDescent="0.3">
      <c r="A466" s="1064"/>
    </row>
    <row r="467" spans="1:1" s="1066" customFormat="1" x14ac:dyDescent="0.3">
      <c r="A467" s="1064"/>
    </row>
    <row r="468" spans="1:1" s="1066" customFormat="1" x14ac:dyDescent="0.3">
      <c r="A468" s="1064"/>
    </row>
    <row r="469" spans="1:1" s="1066" customFormat="1" x14ac:dyDescent="0.3">
      <c r="A469" s="1064"/>
    </row>
    <row r="470" spans="1:1" s="1066" customFormat="1" x14ac:dyDescent="0.3">
      <c r="A470" s="1064"/>
    </row>
    <row r="471" spans="1:1" s="1066" customFormat="1" x14ac:dyDescent="0.3">
      <c r="A471" s="1064"/>
    </row>
    <row r="472" spans="1:1" s="1066" customFormat="1" x14ac:dyDescent="0.3">
      <c r="A472" s="1064"/>
    </row>
    <row r="473" spans="1:1" s="1066" customFormat="1" x14ac:dyDescent="0.3">
      <c r="A473" s="1064"/>
    </row>
    <row r="474" spans="1:1" s="1066" customFormat="1" x14ac:dyDescent="0.3">
      <c r="A474" s="1064"/>
    </row>
    <row r="475" spans="1:1" s="1066" customFormat="1" x14ac:dyDescent="0.3">
      <c r="A475" s="1064"/>
    </row>
    <row r="476" spans="1:1" s="1066" customFormat="1" x14ac:dyDescent="0.3">
      <c r="A476" s="1064"/>
    </row>
    <row r="477" spans="1:1" s="1066" customFormat="1" x14ac:dyDescent="0.3">
      <c r="A477" s="1064"/>
    </row>
    <row r="478" spans="1:1" s="1066" customFormat="1" x14ac:dyDescent="0.3">
      <c r="A478" s="1064"/>
    </row>
    <row r="479" spans="1:1" s="1066" customFormat="1" x14ac:dyDescent="0.3">
      <c r="A479" s="1064"/>
    </row>
    <row r="480" spans="1:1" s="1066" customFormat="1" x14ac:dyDescent="0.3">
      <c r="A480" s="1064"/>
    </row>
    <row r="481" spans="1:1" s="1066" customFormat="1" x14ac:dyDescent="0.3">
      <c r="A481" s="1064"/>
    </row>
    <row r="482" spans="1:1" s="1066" customFormat="1" x14ac:dyDescent="0.3">
      <c r="A482" s="1064"/>
    </row>
    <row r="483" spans="1:1" s="1066" customFormat="1" x14ac:dyDescent="0.3">
      <c r="A483" s="1064"/>
    </row>
    <row r="484" spans="1:1" s="1066" customFormat="1" x14ac:dyDescent="0.3">
      <c r="A484" s="1064"/>
    </row>
    <row r="485" spans="1:1" s="1066" customFormat="1" x14ac:dyDescent="0.3">
      <c r="A485" s="1064"/>
    </row>
    <row r="486" spans="1:1" s="1066" customFormat="1" x14ac:dyDescent="0.3">
      <c r="A486" s="1064"/>
    </row>
    <row r="487" spans="1:1" s="1066" customFormat="1" x14ac:dyDescent="0.3">
      <c r="A487" s="1064"/>
    </row>
    <row r="488" spans="1:1" s="1066" customFormat="1" x14ac:dyDescent="0.3">
      <c r="A488" s="1064"/>
    </row>
    <row r="489" spans="1:1" s="1066" customFormat="1" x14ac:dyDescent="0.3">
      <c r="A489" s="1064"/>
    </row>
    <row r="490" spans="1:1" s="1066" customFormat="1" x14ac:dyDescent="0.3">
      <c r="A490" s="1064"/>
    </row>
    <row r="491" spans="1:1" s="1066" customFormat="1" x14ac:dyDescent="0.3">
      <c r="A491" s="1064"/>
    </row>
    <row r="492" spans="1:1" s="1066" customFormat="1" x14ac:dyDescent="0.3">
      <c r="A492" s="1064"/>
    </row>
    <row r="493" spans="1:1" s="1066" customFormat="1" x14ac:dyDescent="0.3">
      <c r="A493" s="1064"/>
    </row>
    <row r="494" spans="1:1" s="1066" customFormat="1" x14ac:dyDescent="0.3">
      <c r="A494" s="1064"/>
    </row>
    <row r="495" spans="1:1" s="1066" customFormat="1" x14ac:dyDescent="0.3">
      <c r="A495" s="1064"/>
    </row>
    <row r="496" spans="1:1" s="1066" customFormat="1" x14ac:dyDescent="0.3">
      <c r="A496" s="1064"/>
    </row>
    <row r="497" spans="1:1" s="1066" customFormat="1" x14ac:dyDescent="0.3">
      <c r="A497" s="1064"/>
    </row>
    <row r="498" spans="1:1" s="1066" customFormat="1" x14ac:dyDescent="0.3">
      <c r="A498" s="1064"/>
    </row>
    <row r="499" spans="1:1" s="1066" customFormat="1" x14ac:dyDescent="0.3">
      <c r="A499" s="1064"/>
    </row>
    <row r="500" spans="1:1" s="1066" customFormat="1" x14ac:dyDescent="0.3">
      <c r="A500" s="1064"/>
    </row>
    <row r="501" spans="1:1" s="1066" customFormat="1" x14ac:dyDescent="0.3">
      <c r="A501" s="1064"/>
    </row>
    <row r="502" spans="1:1" s="1066" customFormat="1" x14ac:dyDescent="0.3">
      <c r="A502" s="1064"/>
    </row>
    <row r="503" spans="1:1" s="1066" customFormat="1" x14ac:dyDescent="0.3">
      <c r="A503" s="1064"/>
    </row>
    <row r="504" spans="1:1" s="1066" customFormat="1" x14ac:dyDescent="0.3">
      <c r="A504" s="1064"/>
    </row>
    <row r="505" spans="1:1" s="1066" customFormat="1" x14ac:dyDescent="0.3">
      <c r="A505" s="1064"/>
    </row>
    <row r="506" spans="1:1" s="1066" customFormat="1" x14ac:dyDescent="0.3">
      <c r="A506" s="1064"/>
    </row>
    <row r="507" spans="1:1" s="1066" customFormat="1" x14ac:dyDescent="0.3">
      <c r="A507" s="1064"/>
    </row>
    <row r="508" spans="1:1" s="1066" customFormat="1" x14ac:dyDescent="0.3">
      <c r="A508" s="1064"/>
    </row>
    <row r="509" spans="1:1" s="1066" customFormat="1" x14ac:dyDescent="0.3">
      <c r="A509" s="1064"/>
    </row>
    <row r="510" spans="1:1" s="1066" customFormat="1" x14ac:dyDescent="0.3">
      <c r="A510" s="1064"/>
    </row>
    <row r="511" spans="1:1" s="1066" customFormat="1" x14ac:dyDescent="0.3">
      <c r="A511" s="1064"/>
    </row>
    <row r="512" spans="1:1" s="1066" customFormat="1" x14ac:dyDescent="0.3">
      <c r="A512" s="1064"/>
    </row>
    <row r="513" spans="1:1" s="1066" customFormat="1" x14ac:dyDescent="0.3">
      <c r="A513" s="1064"/>
    </row>
    <row r="514" spans="1:1" s="1066" customFormat="1" x14ac:dyDescent="0.3">
      <c r="A514" s="1064"/>
    </row>
    <row r="515" spans="1:1" s="1066" customFormat="1" x14ac:dyDescent="0.3">
      <c r="A515" s="1064"/>
    </row>
    <row r="516" spans="1:1" s="1066" customFormat="1" x14ac:dyDescent="0.3">
      <c r="A516" s="1064"/>
    </row>
    <row r="517" spans="1:1" s="1066" customFormat="1" x14ac:dyDescent="0.3">
      <c r="A517" s="1064"/>
    </row>
    <row r="518" spans="1:1" s="1066" customFormat="1" x14ac:dyDescent="0.3">
      <c r="A518" s="1064"/>
    </row>
    <row r="519" spans="1:1" s="1066" customFormat="1" x14ac:dyDescent="0.3">
      <c r="A519" s="1064"/>
    </row>
    <row r="520" spans="1:1" s="1066" customFormat="1" x14ac:dyDescent="0.3">
      <c r="A520" s="1064"/>
    </row>
    <row r="521" spans="1:1" s="1066" customFormat="1" x14ac:dyDescent="0.3">
      <c r="A521" s="1064"/>
    </row>
    <row r="522" spans="1:1" s="1066" customFormat="1" x14ac:dyDescent="0.3">
      <c r="A522" s="1064"/>
    </row>
    <row r="523" spans="1:1" s="1066" customFormat="1" x14ac:dyDescent="0.3">
      <c r="A523" s="1064"/>
    </row>
    <row r="524" spans="1:1" s="1066" customFormat="1" x14ac:dyDescent="0.3">
      <c r="A524" s="1064"/>
    </row>
    <row r="525" spans="1:1" s="1066" customFormat="1" x14ac:dyDescent="0.3">
      <c r="A525" s="1064"/>
    </row>
    <row r="526" spans="1:1" s="1066" customFormat="1" x14ac:dyDescent="0.3">
      <c r="A526" s="1064"/>
    </row>
    <row r="527" spans="1:1" s="1066" customFormat="1" x14ac:dyDescent="0.3">
      <c r="A527" s="1064"/>
    </row>
    <row r="528" spans="1:1" s="1066" customFormat="1" x14ac:dyDescent="0.3">
      <c r="A528" s="1064"/>
    </row>
    <row r="529" spans="1:1" s="1066" customFormat="1" x14ac:dyDescent="0.3">
      <c r="A529" s="1064"/>
    </row>
    <row r="530" spans="1:1" s="1066" customFormat="1" x14ac:dyDescent="0.3">
      <c r="A530" s="1064"/>
    </row>
    <row r="531" spans="1:1" s="1066" customFormat="1" x14ac:dyDescent="0.3">
      <c r="A531" s="1064"/>
    </row>
    <row r="532" spans="1:1" s="1066" customFormat="1" x14ac:dyDescent="0.3">
      <c r="A532" s="1064"/>
    </row>
    <row r="533" spans="1:1" s="1066" customFormat="1" x14ac:dyDescent="0.3">
      <c r="A533" s="1064"/>
    </row>
    <row r="534" spans="1:1" s="1066" customFormat="1" x14ac:dyDescent="0.3">
      <c r="A534" s="1064"/>
    </row>
    <row r="535" spans="1:1" s="1066" customFormat="1" x14ac:dyDescent="0.3">
      <c r="A535" s="1064"/>
    </row>
    <row r="536" spans="1:1" s="1066" customFormat="1" x14ac:dyDescent="0.3">
      <c r="A536" s="1064"/>
    </row>
    <row r="537" spans="1:1" s="1066" customFormat="1" x14ac:dyDescent="0.3">
      <c r="A537" s="1064"/>
    </row>
    <row r="538" spans="1:1" s="1066" customFormat="1" x14ac:dyDescent="0.3">
      <c r="A538" s="1064"/>
    </row>
    <row r="539" spans="1:1" s="1066" customFormat="1" x14ac:dyDescent="0.3">
      <c r="A539" s="1064"/>
    </row>
    <row r="540" spans="1:1" s="1066" customFormat="1" x14ac:dyDescent="0.3">
      <c r="A540" s="1064"/>
    </row>
    <row r="541" spans="1:1" s="1066" customFormat="1" x14ac:dyDescent="0.3">
      <c r="A541" s="1064"/>
    </row>
    <row r="542" spans="1:1" s="1066" customFormat="1" x14ac:dyDescent="0.3">
      <c r="A542" s="1064"/>
    </row>
    <row r="543" spans="1:1" s="1066" customFormat="1" x14ac:dyDescent="0.3">
      <c r="A543" s="1064"/>
    </row>
    <row r="544" spans="1:1" s="1066" customFormat="1" x14ac:dyDescent="0.3">
      <c r="A544" s="1064"/>
    </row>
    <row r="545" spans="1:1" s="1066" customFormat="1" x14ac:dyDescent="0.3">
      <c r="A545" s="1064"/>
    </row>
    <row r="546" spans="1:1" s="1066" customFormat="1" x14ac:dyDescent="0.3">
      <c r="A546" s="1064"/>
    </row>
    <row r="547" spans="1:1" s="1066" customFormat="1" x14ac:dyDescent="0.3">
      <c r="A547" s="1064"/>
    </row>
    <row r="548" spans="1:1" s="1066" customFormat="1" x14ac:dyDescent="0.3">
      <c r="A548" s="1064"/>
    </row>
    <row r="549" spans="1:1" s="1066" customFormat="1" x14ac:dyDescent="0.3">
      <c r="A549" s="1064"/>
    </row>
    <row r="550" spans="1:1" s="1066" customFormat="1" x14ac:dyDescent="0.3">
      <c r="A550" s="1064"/>
    </row>
    <row r="551" spans="1:1" s="1066" customFormat="1" x14ac:dyDescent="0.3">
      <c r="A551" s="1064"/>
    </row>
    <row r="552" spans="1:1" s="1066" customFormat="1" x14ac:dyDescent="0.3">
      <c r="A552" s="1064"/>
    </row>
    <row r="553" spans="1:1" s="1066" customFormat="1" x14ac:dyDescent="0.3">
      <c r="A553" s="1064"/>
    </row>
    <row r="554" spans="1:1" s="1066" customFormat="1" x14ac:dyDescent="0.3">
      <c r="A554" s="1064"/>
    </row>
    <row r="555" spans="1:1" s="1066" customFormat="1" x14ac:dyDescent="0.3">
      <c r="A555" s="1064"/>
    </row>
    <row r="556" spans="1:1" s="1066" customFormat="1" x14ac:dyDescent="0.3">
      <c r="A556" s="1064"/>
    </row>
    <row r="557" spans="1:1" s="1066" customFormat="1" x14ac:dyDescent="0.3">
      <c r="A557" s="1064"/>
    </row>
    <row r="558" spans="1:1" s="1066" customFormat="1" x14ac:dyDescent="0.3">
      <c r="A558" s="1064"/>
    </row>
    <row r="559" spans="1:1" s="1066" customFormat="1" x14ac:dyDescent="0.3">
      <c r="A559" s="1064"/>
    </row>
    <row r="560" spans="1:1" s="1066" customFormat="1" x14ac:dyDescent="0.3">
      <c r="A560" s="1064"/>
    </row>
    <row r="561" spans="1:1" s="1066" customFormat="1" x14ac:dyDescent="0.3">
      <c r="A561" s="1064"/>
    </row>
    <row r="562" spans="1:1" s="1066" customFormat="1" x14ac:dyDescent="0.3">
      <c r="A562" s="1064"/>
    </row>
    <row r="563" spans="1:1" s="1066" customFormat="1" x14ac:dyDescent="0.3">
      <c r="A563" s="1064"/>
    </row>
    <row r="564" spans="1:1" s="1066" customFormat="1" x14ac:dyDescent="0.3">
      <c r="A564" s="1064"/>
    </row>
    <row r="565" spans="1:1" s="1066" customFormat="1" x14ac:dyDescent="0.3">
      <c r="A565" s="1064"/>
    </row>
    <row r="566" spans="1:1" s="1066" customFormat="1" x14ac:dyDescent="0.3">
      <c r="A566" s="1064"/>
    </row>
    <row r="567" spans="1:1" s="1066" customFormat="1" x14ac:dyDescent="0.3">
      <c r="A567" s="1064"/>
    </row>
    <row r="568" spans="1:1" s="1066" customFormat="1" x14ac:dyDescent="0.3">
      <c r="A568" s="1064"/>
    </row>
    <row r="569" spans="1:1" s="1066" customFormat="1" x14ac:dyDescent="0.3">
      <c r="A569" s="1064"/>
    </row>
    <row r="570" spans="1:1" s="1066" customFormat="1" x14ac:dyDescent="0.3">
      <c r="A570" s="1064"/>
    </row>
    <row r="571" spans="1:1" s="1066" customFormat="1" x14ac:dyDescent="0.3">
      <c r="A571" s="1064"/>
    </row>
    <row r="572" spans="1:1" s="1066" customFormat="1" x14ac:dyDescent="0.3">
      <c r="A572" s="1064"/>
    </row>
    <row r="573" spans="1:1" s="1066" customFormat="1" x14ac:dyDescent="0.3">
      <c r="A573" s="1064"/>
    </row>
    <row r="574" spans="1:1" s="1066" customFormat="1" x14ac:dyDescent="0.3">
      <c r="A574" s="1064"/>
    </row>
    <row r="575" spans="1:1" s="1066" customFormat="1" x14ac:dyDescent="0.3">
      <c r="A575" s="1064"/>
    </row>
    <row r="576" spans="1:1" s="1066" customFormat="1" x14ac:dyDescent="0.3">
      <c r="A576" s="1064"/>
    </row>
    <row r="577" spans="1:1" s="1066" customFormat="1" x14ac:dyDescent="0.3">
      <c r="A577" s="1064"/>
    </row>
    <row r="578" spans="1:1" s="1066" customFormat="1" x14ac:dyDescent="0.3">
      <c r="A578" s="1064"/>
    </row>
    <row r="579" spans="1:1" s="1066" customFormat="1" x14ac:dyDescent="0.3">
      <c r="A579" s="1064"/>
    </row>
    <row r="580" spans="1:1" s="1066" customFormat="1" x14ac:dyDescent="0.3">
      <c r="A580" s="1064"/>
    </row>
    <row r="581" spans="1:1" s="1066" customFormat="1" x14ac:dyDescent="0.3">
      <c r="A581" s="1064"/>
    </row>
  </sheetData>
  <mergeCells count="47">
    <mergeCell ref="J418:K418"/>
    <mergeCell ref="J419:K419"/>
    <mergeCell ref="E392:L392"/>
    <mergeCell ref="E418:F418"/>
    <mergeCell ref="E419:F419"/>
    <mergeCell ref="D5:X5"/>
    <mergeCell ref="D14:X14"/>
    <mergeCell ref="D22:X22"/>
    <mergeCell ref="D29:X29"/>
    <mergeCell ref="D129:X129"/>
    <mergeCell ref="D175:X175"/>
    <mergeCell ref="D39:X39"/>
    <mergeCell ref="D46:X46"/>
    <mergeCell ref="D57:X57"/>
    <mergeCell ref="D65:X65"/>
    <mergeCell ref="D73:X73"/>
    <mergeCell ref="B84:E84"/>
    <mergeCell ref="D104:X104"/>
    <mergeCell ref="D111:X111"/>
    <mergeCell ref="D122:X122"/>
    <mergeCell ref="D136:X136"/>
    <mergeCell ref="D168:X168"/>
    <mergeCell ref="B211:G211"/>
    <mergeCell ref="D233:X233"/>
    <mergeCell ref="D240:X240"/>
    <mergeCell ref="D186:X186"/>
    <mergeCell ref="D193:X193"/>
    <mergeCell ref="D200:X200"/>
    <mergeCell ref="D294:X294"/>
    <mergeCell ref="D301:X301"/>
    <mergeCell ref="D251:X251"/>
    <mergeCell ref="D258:X258"/>
    <mergeCell ref="D265:X265"/>
    <mergeCell ref="B273:F273"/>
    <mergeCell ref="V362:X362"/>
    <mergeCell ref="B335:G335"/>
    <mergeCell ref="D320:X320"/>
    <mergeCell ref="D327:X327"/>
    <mergeCell ref="D313:X313"/>
    <mergeCell ref="G362:I362"/>
    <mergeCell ref="J362:L362"/>
    <mergeCell ref="M362:O362"/>
    <mergeCell ref="P362:R362"/>
    <mergeCell ref="S362:U362"/>
    <mergeCell ref="E357:I357"/>
    <mergeCell ref="E360:I360"/>
    <mergeCell ref="E359:X35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AM117"/>
  <sheetViews>
    <sheetView topLeftCell="A7" zoomScale="55" zoomScaleNormal="55" workbookViewId="0">
      <selection activeCell="G8" sqref="G8:M11"/>
    </sheetView>
  </sheetViews>
  <sheetFormatPr defaultColWidth="9.109375" defaultRowHeight="13.2" x14ac:dyDescent="0.3"/>
  <cols>
    <col min="1" max="1" width="3.5546875" style="424" customWidth="1"/>
    <col min="2" max="2" width="43.88671875" style="424" customWidth="1"/>
    <col min="3" max="3" width="18.109375" style="424" customWidth="1"/>
    <col min="4" max="4" width="12.88671875" style="424" customWidth="1"/>
    <col min="5" max="5" width="13.5546875" style="424" bestFit="1" customWidth="1"/>
    <col min="6" max="6" width="12.6640625" style="424" customWidth="1"/>
    <col min="7" max="7" width="17.6640625" style="424" customWidth="1"/>
    <col min="8" max="8" width="17.5546875" style="424" customWidth="1"/>
    <col min="9" max="9" width="16.5546875" style="424" customWidth="1"/>
    <col min="10" max="10" width="16.109375" style="424" customWidth="1"/>
    <col min="11" max="11" width="14.33203125" style="424" bestFit="1" customWidth="1"/>
    <col min="12" max="14" width="16" style="424" customWidth="1"/>
    <col min="15" max="15" width="13.33203125" style="424" bestFit="1" customWidth="1"/>
    <col min="16" max="17" width="12.6640625" style="424" customWidth="1"/>
    <col min="18" max="18" width="15.44140625" style="424" customWidth="1"/>
    <col min="19" max="24" width="12.6640625" style="424" customWidth="1"/>
    <col min="25" max="25" width="15.44140625" style="424" customWidth="1"/>
    <col min="26" max="26" width="17.44140625" style="424" customWidth="1"/>
    <col min="27" max="27" width="28.109375" style="424" customWidth="1"/>
    <col min="28" max="16384" width="9.109375" style="424"/>
  </cols>
  <sheetData>
    <row r="2" spans="2:26" ht="20.25" x14ac:dyDescent="0.25">
      <c r="B2" s="1569" t="s">
        <v>713</v>
      </c>
    </row>
    <row r="3" spans="2:26" ht="20.25" x14ac:dyDescent="0.25">
      <c r="B3" s="1569" t="s">
        <v>717</v>
      </c>
    </row>
    <row r="4" spans="2:26" ht="18" x14ac:dyDescent="0.25">
      <c r="B4" s="423"/>
    </row>
    <row r="5" spans="2:26" ht="25.5" customHeight="1" x14ac:dyDescent="0.25">
      <c r="B5" s="1026"/>
      <c r="C5" s="1026"/>
      <c r="G5" s="1859" t="s">
        <v>698</v>
      </c>
      <c r="H5" s="1862"/>
      <c r="I5" s="1862"/>
      <c r="J5" s="1862"/>
      <c r="K5" s="1862"/>
      <c r="L5" s="1862"/>
      <c r="M5" s="1860"/>
    </row>
    <row r="6" spans="2:26" ht="36.75" customHeight="1" thickBot="1" x14ac:dyDescent="0.3">
      <c r="B6" s="1859" t="str">
        <f>Rates!B142</f>
        <v>Average Monetized Value of Crashes (for KABCO-reported and generic accident data)</v>
      </c>
      <c r="C6" s="1860"/>
      <c r="D6" s="425" t="s">
        <v>598</v>
      </c>
      <c r="E6" s="425" t="s">
        <v>1</v>
      </c>
      <c r="F6" s="1024"/>
      <c r="G6" s="1016" t="s">
        <v>597</v>
      </c>
      <c r="H6" s="1016" t="s">
        <v>184</v>
      </c>
      <c r="I6" s="1016" t="s">
        <v>182</v>
      </c>
      <c r="J6" s="1016" t="s">
        <v>180</v>
      </c>
      <c r="K6" s="1016" t="s">
        <v>178</v>
      </c>
      <c r="L6" s="1016" t="s">
        <v>186</v>
      </c>
      <c r="M6" s="1016" t="s">
        <v>436</v>
      </c>
    </row>
    <row r="7" spans="2:26" ht="25.5" customHeight="1" thickBot="1" x14ac:dyDescent="0.3">
      <c r="B7" s="1326" t="str">
        <f>Rates!B143</f>
        <v xml:space="preserve"> - Fatal Accident Cost</v>
      </c>
      <c r="C7" s="714" t="s">
        <v>184</v>
      </c>
      <c r="D7" s="1327">
        <f>Rates!E143</f>
        <v>9600000</v>
      </c>
      <c r="E7" s="1328" t="str">
        <f>Rates!F143</f>
        <v>$/person</v>
      </c>
      <c r="F7" s="1024"/>
      <c r="G7" s="1017" t="s">
        <v>583</v>
      </c>
      <c r="H7" s="1329">
        <f>Crash.Data!O38</f>
        <v>1.080054379188904E-2</v>
      </c>
      <c r="I7" s="1329">
        <f>Crash.Data!P38</f>
        <v>3.2401631375667116E-2</v>
      </c>
      <c r="J7" s="1329">
        <f>Crash.Data!Q38</f>
        <v>0.18495931243609978</v>
      </c>
      <c r="K7" s="1329">
        <f>Crash.Data!R38</f>
        <v>0.34696746931443539</v>
      </c>
      <c r="L7" s="1329">
        <v>0</v>
      </c>
      <c r="M7" s="1330">
        <f>Crash.Data!S38</f>
        <v>1.4324221203992837</v>
      </c>
      <c r="O7" s="1331"/>
    </row>
    <row r="8" spans="2:26" ht="25.5" customHeight="1" x14ac:dyDescent="0.25">
      <c r="B8" s="1326" t="str">
        <f>Rates!B144</f>
        <v>-  Accident Cost (Incapaciting Injury)</v>
      </c>
      <c r="C8" s="714" t="s">
        <v>182</v>
      </c>
      <c r="D8" s="1327">
        <f>Rates!E144</f>
        <v>459100</v>
      </c>
      <c r="E8" s="1328" t="str">
        <f>Rates!F144</f>
        <v>$/person</v>
      </c>
      <c r="F8" s="1024"/>
      <c r="G8" s="425" t="s">
        <v>595</v>
      </c>
      <c r="H8" s="1332">
        <f>Crash.Data!O39</f>
        <v>7.934517364936975E-3</v>
      </c>
      <c r="I8" s="1332">
        <f>Crash.Data!P39</f>
        <v>2.4937054575516208E-2</v>
      </c>
      <c r="J8" s="1332">
        <f>Crash.Data!Q39</f>
        <v>0.1394208051267497</v>
      </c>
      <c r="K8" s="1332">
        <f>Crash.Data!R39</f>
        <v>0.28110861521490998</v>
      </c>
      <c r="L8" s="1332">
        <v>0</v>
      </c>
      <c r="M8" s="1332">
        <f>Crash.Data!S39</f>
        <v>0.90566848208352047</v>
      </c>
    </row>
    <row r="9" spans="2:26" ht="25.5" customHeight="1" x14ac:dyDescent="0.25">
      <c r="B9" s="1326" t="str">
        <f>Rates!B145</f>
        <v>-  Accident Cost (Non-Incapaciting Injury)</v>
      </c>
      <c r="C9" s="714" t="s">
        <v>180</v>
      </c>
      <c r="D9" s="1327">
        <f>Rates!E145</f>
        <v>125000</v>
      </c>
      <c r="E9" s="1328" t="str">
        <f>Rates!F145</f>
        <v>$/person</v>
      </c>
      <c r="F9" s="1024"/>
      <c r="G9" s="425" t="s">
        <v>594</v>
      </c>
      <c r="H9" s="1332">
        <f>Crash.Data!O40</f>
        <v>7.8747078827570566E-3</v>
      </c>
      <c r="I9" s="1332">
        <f>Crash.Data!P40</f>
        <v>2.4749081917236463E-2</v>
      </c>
      <c r="J9" s="1332">
        <f>Crash.Data!Q40</f>
        <v>0.14174474188962702</v>
      </c>
      <c r="K9" s="1332">
        <f>Crash.Data!R40</f>
        <v>0.29136419166201111</v>
      </c>
      <c r="L9" s="1332">
        <v>0</v>
      </c>
      <c r="M9" s="1332">
        <f>Crash.Data!S40</f>
        <v>0.88871703248258216</v>
      </c>
    </row>
    <row r="10" spans="2:26" ht="25.5" customHeight="1" thickBot="1" x14ac:dyDescent="0.3">
      <c r="B10" s="1326" t="str">
        <f>Rates!B146</f>
        <v>-  Accident Cost (Possible Injury)</v>
      </c>
      <c r="C10" s="714" t="s">
        <v>178</v>
      </c>
      <c r="D10" s="1327">
        <f>Rates!E146</f>
        <v>63900</v>
      </c>
      <c r="E10" s="1328" t="str">
        <f>Rates!F146</f>
        <v>$/person</v>
      </c>
      <c r="F10" s="1024"/>
      <c r="G10" s="1016" t="s">
        <v>598</v>
      </c>
      <c r="H10" s="1333">
        <f>D7</f>
        <v>9600000</v>
      </c>
      <c r="I10" s="1333">
        <f>D8</f>
        <v>459100</v>
      </c>
      <c r="J10" s="1333">
        <f>D9</f>
        <v>125000</v>
      </c>
      <c r="K10" s="1333">
        <f>D10</f>
        <v>63900</v>
      </c>
      <c r="L10" s="1333">
        <f>D11</f>
        <v>174000</v>
      </c>
      <c r="M10" s="1333">
        <f>D12</f>
        <v>4252</v>
      </c>
    </row>
    <row r="11" spans="2:26" ht="25.5" customHeight="1" thickBot="1" x14ac:dyDescent="0.3">
      <c r="B11" s="1326" t="str">
        <f>Rates!B147</f>
        <v xml:space="preserve"> - Accident Cost (Injured Severity Unknown)</v>
      </c>
      <c r="C11" s="714" t="s">
        <v>186</v>
      </c>
      <c r="D11" s="1327">
        <f>Rates!E147</f>
        <v>174000</v>
      </c>
      <c r="E11" s="1328" t="str">
        <f>Rates!F147</f>
        <v>$/person</v>
      </c>
      <c r="F11" s="1024"/>
      <c r="G11" s="1017" t="s">
        <v>503</v>
      </c>
      <c r="H11" s="1334">
        <f>IF(BCA!$I$8=1,H7,IF(BCA!$I$8=2,H8,IF(BCA!$I$8=3,H9,IF(BCA!$I$8=4,#REF!,IF(BCA!$I$8=5,#REF!)))))</f>
        <v>7.8747078827570566E-3</v>
      </c>
      <c r="I11" s="1334">
        <f>IF(BCA!$I$8=1,I7,IF(BCA!$I$8=2,I8,IF(BCA!$I$8=3,I9,IF(BCA!$I$8=4,#REF!,IF(BCA!$I$8=5,#REF!)))))</f>
        <v>2.4749081917236463E-2</v>
      </c>
      <c r="J11" s="1334">
        <f>IF(BCA!$I$8=1,J7,IF(BCA!$I$8=2,J8,IF(BCA!$I$8=3,J9,IF(BCA!$I$8=4,#REF!,IF(BCA!$I$8=5,#REF!)))))</f>
        <v>0.14174474188962702</v>
      </c>
      <c r="K11" s="1334">
        <f>IF(BCA!$I$8=1,K7,IF(BCA!$I$8=2,K8,IF(BCA!$I$8=3,K9,IF(BCA!$I$8=4,#REF!,IF(BCA!$I$8=5,#REF!)))))</f>
        <v>0.29136419166201111</v>
      </c>
      <c r="L11" s="1334">
        <f>IF(BCA!$I$8=1,L7,IF(BCA!$I$8=2,L8,IF(BCA!$I$8=3,L9,IF(BCA!$I$8=4,#REF!,IF(BCA!$I$8=5,#REF!)))))</f>
        <v>0</v>
      </c>
      <c r="M11" s="1335">
        <f>IF(BCA!$I$8=1,M7,IF(BCA!$I$8=2,M8,IF(BCA!$I$8=3,M9,IF(BCA!$I$8=4,#REF!,IF(BCA!$I$8=5,#REF!)))))</f>
        <v>0.88871703248258216</v>
      </c>
    </row>
    <row r="12" spans="2:26" ht="25.5" customHeight="1" x14ac:dyDescent="0.25">
      <c r="B12" s="1326" t="str">
        <f>Rates!B149</f>
        <v xml:space="preserve"> - Property Damage Only (PDO) Crashes</v>
      </c>
      <c r="C12" s="714" t="s">
        <v>176</v>
      </c>
      <c r="D12" s="1327">
        <f>Rates!E149</f>
        <v>4252</v>
      </c>
      <c r="E12" s="1328" t="s">
        <v>505</v>
      </c>
      <c r="F12" s="1024"/>
    </row>
    <row r="13" spans="2:26" ht="25.5" customHeight="1" x14ac:dyDescent="0.25">
      <c r="B13" s="1817" t="s">
        <v>504</v>
      </c>
      <c r="C13" s="1817"/>
      <c r="E13" s="1023"/>
      <c r="F13" s="1024"/>
    </row>
    <row r="14" spans="2:26" ht="13.5" thickBot="1" x14ac:dyDescent="0.3">
      <c r="E14" s="1336"/>
      <c r="F14" s="1024"/>
      <c r="G14" s="1024"/>
      <c r="H14" s="1024"/>
      <c r="I14" s="601"/>
      <c r="J14" s="1025"/>
      <c r="K14" s="1025"/>
      <c r="L14" s="1025"/>
      <c r="M14" s="601"/>
    </row>
    <row r="15" spans="2:26" ht="21" customHeight="1" thickBot="1" x14ac:dyDescent="0.3">
      <c r="B15" s="954"/>
      <c r="C15" s="955"/>
      <c r="D15" s="955"/>
      <c r="E15" s="1818" t="s">
        <v>502</v>
      </c>
      <c r="F15" s="1819"/>
      <c r="G15" s="1819"/>
      <c r="H15" s="1819"/>
      <c r="I15" s="1819"/>
      <c r="J15" s="1819"/>
      <c r="K15" s="1819"/>
      <c r="L15" s="1819"/>
      <c r="M15" s="1819"/>
      <c r="N15" s="1819"/>
      <c r="O15" s="1819"/>
      <c r="P15" s="1819"/>
      <c r="Q15" s="1819"/>
      <c r="R15" s="1819"/>
      <c r="S15" s="1819"/>
      <c r="T15" s="1819"/>
      <c r="U15" s="1819"/>
      <c r="V15" s="1819"/>
      <c r="W15" s="1819"/>
      <c r="X15" s="1819"/>
      <c r="Y15" s="1820"/>
      <c r="Z15" s="688"/>
    </row>
    <row r="16" spans="2:26" ht="13.5" thickBot="1" x14ac:dyDescent="0.3">
      <c r="B16" s="957"/>
      <c r="C16" s="958"/>
      <c r="D16" s="958"/>
      <c r="E16" s="712">
        <v>2023</v>
      </c>
      <c r="F16" s="417">
        <f>E16+1</f>
        <v>2024</v>
      </c>
      <c r="G16" s="417">
        <f t="shared" ref="G16:Y16" si="0">F16+1</f>
        <v>2025</v>
      </c>
      <c r="H16" s="417">
        <f t="shared" si="0"/>
        <v>2026</v>
      </c>
      <c r="I16" s="417">
        <f t="shared" si="0"/>
        <v>2027</v>
      </c>
      <c r="J16" s="417">
        <f t="shared" si="0"/>
        <v>2028</v>
      </c>
      <c r="K16" s="417">
        <f t="shared" si="0"/>
        <v>2029</v>
      </c>
      <c r="L16" s="417">
        <f t="shared" si="0"/>
        <v>2030</v>
      </c>
      <c r="M16" s="417">
        <f t="shared" si="0"/>
        <v>2031</v>
      </c>
      <c r="N16" s="417">
        <f t="shared" si="0"/>
        <v>2032</v>
      </c>
      <c r="O16" s="417">
        <f t="shared" si="0"/>
        <v>2033</v>
      </c>
      <c r="P16" s="417">
        <f t="shared" si="0"/>
        <v>2034</v>
      </c>
      <c r="Q16" s="417">
        <f t="shared" si="0"/>
        <v>2035</v>
      </c>
      <c r="R16" s="417">
        <f t="shared" si="0"/>
        <v>2036</v>
      </c>
      <c r="S16" s="417">
        <f t="shared" si="0"/>
        <v>2037</v>
      </c>
      <c r="T16" s="417">
        <f t="shared" si="0"/>
        <v>2038</v>
      </c>
      <c r="U16" s="417">
        <f t="shared" si="0"/>
        <v>2039</v>
      </c>
      <c r="V16" s="417">
        <f t="shared" si="0"/>
        <v>2040</v>
      </c>
      <c r="W16" s="417">
        <f t="shared" si="0"/>
        <v>2041</v>
      </c>
      <c r="X16" s="417">
        <f t="shared" si="0"/>
        <v>2042</v>
      </c>
      <c r="Y16" s="417">
        <f t="shared" si="0"/>
        <v>2043</v>
      </c>
      <c r="Z16" s="1023"/>
    </row>
    <row r="17" spans="2:27" s="1028" customFormat="1" ht="20.25" x14ac:dyDescent="0.25">
      <c r="B17" s="960" t="s">
        <v>573</v>
      </c>
      <c r="C17" s="601"/>
      <c r="D17" s="601"/>
      <c r="E17" s="962"/>
      <c r="F17" s="435"/>
      <c r="G17" s="435"/>
      <c r="H17" s="435"/>
      <c r="I17" s="435"/>
      <c r="J17" s="435"/>
      <c r="K17" s="435"/>
      <c r="L17" s="435"/>
      <c r="M17" s="435"/>
      <c r="N17" s="435"/>
      <c r="O17" s="435"/>
      <c r="P17" s="435"/>
      <c r="Q17" s="435"/>
      <c r="R17" s="435"/>
      <c r="S17" s="435"/>
      <c r="T17" s="435"/>
      <c r="U17" s="435"/>
      <c r="V17" s="435"/>
      <c r="W17" s="435"/>
      <c r="X17" s="435"/>
      <c r="Y17" s="963"/>
      <c r="Z17" s="1023"/>
    </row>
    <row r="18" spans="2:27" ht="12.75" x14ac:dyDescent="0.25">
      <c r="B18" s="969" t="s">
        <v>519</v>
      </c>
      <c r="C18" s="965" t="s">
        <v>343</v>
      </c>
      <c r="D18" s="958"/>
      <c r="E18" s="966">
        <f>'Build.vs.No-Build'!F4</f>
        <v>328208471.54129839</v>
      </c>
      <c r="F18" s="967">
        <f>'Build.vs.No-Build'!G4</f>
        <v>330966672.25379324</v>
      </c>
      <c r="G18" s="967">
        <f>'Build.vs.No-Build'!H4</f>
        <v>333748052.35326332</v>
      </c>
      <c r="H18" s="967">
        <f>'Build.vs.No-Build'!I4</f>
        <v>336552806.63480759</v>
      </c>
      <c r="I18" s="967">
        <f>'Build.vs.No-Build'!J4</f>
        <v>339381131.53054529</v>
      </c>
      <c r="J18" s="967">
        <f>'Build.vs.No-Build'!K4</f>
        <v>342233225.12337345</v>
      </c>
      <c r="K18" s="967">
        <f>'Build.vs.No-Build'!L4</f>
        <v>345109287.16083956</v>
      </c>
      <c r="L18" s="967">
        <f>'Build.vs.No-Build'!M4</f>
        <v>348009519.06913096</v>
      </c>
      <c r="M18" s="967">
        <f>'Build.vs.No-Build'!N4</f>
        <v>350934123.96718186</v>
      </c>
      <c r="N18" s="967">
        <f>'Build.vs.No-Build'!O4</f>
        <v>353883306.68089879</v>
      </c>
      <c r="O18" s="967">
        <f>'Build.vs.No-Build'!P4</f>
        <v>356857273.75750566</v>
      </c>
      <c r="P18" s="967">
        <f>'Build.vs.No-Build'!Q4</f>
        <v>359856233.48000956</v>
      </c>
      <c r="Q18" s="967">
        <f>'Build.vs.No-Build'!R4</f>
        <v>362880395.88178772</v>
      </c>
      <c r="R18" s="967">
        <f>'Build.vs.No-Build'!S4</f>
        <v>365929972.76129746</v>
      </c>
      <c r="S18" s="967">
        <f>'Build.vs.No-Build'!T4</f>
        <v>369005177.69690943</v>
      </c>
      <c r="T18" s="967">
        <f>'Build.vs.No-Build'!U4</f>
        <v>372106226.06186557</v>
      </c>
      <c r="U18" s="967">
        <f>'Build.vs.No-Build'!V4</f>
        <v>375233335.03936327</v>
      </c>
      <c r="V18" s="967">
        <f>'Build.vs.No-Build'!W4</f>
        <v>378386723.63776565</v>
      </c>
      <c r="W18" s="967">
        <f>'Build.vs.No-Build'!X4</f>
        <v>381566612.70593965</v>
      </c>
      <c r="X18" s="967">
        <f>'Build.vs.No-Build'!Y4</f>
        <v>384773224.94872373</v>
      </c>
      <c r="Y18" s="968">
        <f>'Build.vs.No-Build'!Z4</f>
        <v>388006784.94252479</v>
      </c>
      <c r="Z18" s="967"/>
      <c r="AA18" s="1337"/>
    </row>
    <row r="19" spans="2:27" ht="29.25" customHeight="1" x14ac:dyDescent="0.3">
      <c r="B19" s="964" t="s">
        <v>764</v>
      </c>
      <c r="C19" s="965" t="s">
        <v>344</v>
      </c>
      <c r="D19" s="958"/>
      <c r="E19" s="966">
        <f t="shared" ref="E19:Y19" si="1">E18*SUMPRODUCT($H$7:$M$7,$H$10:$M$10)/1000000</f>
        <v>55776602.166259289</v>
      </c>
      <c r="F19" s="967">
        <f t="shared" si="1"/>
        <v>56245337.976499222</v>
      </c>
      <c r="G19" s="967">
        <f t="shared" si="1"/>
        <v>56718012.952110782</v>
      </c>
      <c r="H19" s="967">
        <f t="shared" si="1"/>
        <v>57194660.197080277</v>
      </c>
      <c r="I19" s="967">
        <f t="shared" si="1"/>
        <v>57675313.093593456</v>
      </c>
      <c r="J19" s="967">
        <f t="shared" si="1"/>
        <v>58160005.304373562</v>
      </c>
      <c r="K19" s="967">
        <f t="shared" si="1"/>
        <v>58648770.775038883</v>
      </c>
      <c r="L19" s="967">
        <f t="shared" si="1"/>
        <v>59141643.736480117</v>
      </c>
      <c r="M19" s="967">
        <f t="shared" si="1"/>
        <v>59638658.707257785</v>
      </c>
      <c r="N19" s="967">
        <f t="shared" si="1"/>
        <v>60139850.496019699</v>
      </c>
      <c r="O19" s="967">
        <f t="shared" si="1"/>
        <v>60645254.203938857</v>
      </c>
      <c r="P19" s="967">
        <f t="shared" si="1"/>
        <v>61154905.227171779</v>
      </c>
      <c r="Q19" s="967">
        <f t="shared" si="1"/>
        <v>61668839.259337418</v>
      </c>
      <c r="R19" s="967">
        <f t="shared" si="1"/>
        <v>62187092.294017039</v>
      </c>
      <c r="S19" s="967">
        <f t="shared" si="1"/>
        <v>62709700.627275005</v>
      </c>
      <c r="T19" s="967">
        <f t="shared" si="1"/>
        <v>63236700.860200822</v>
      </c>
      <c r="U19" s="967">
        <f t="shared" si="1"/>
        <v>63768129.901472472</v>
      </c>
      <c r="V19" s="967">
        <f t="shared" si="1"/>
        <v>64304024.969941407</v>
      </c>
      <c r="W19" s="967">
        <f t="shared" si="1"/>
        <v>64844423.597239055</v>
      </c>
      <c r="X19" s="967">
        <f t="shared" si="1"/>
        <v>65389363.630405508</v>
      </c>
      <c r="Y19" s="968">
        <f t="shared" si="1"/>
        <v>65938883.23454003</v>
      </c>
      <c r="Z19" s="967"/>
      <c r="AA19" s="1337"/>
    </row>
    <row r="20" spans="2:27" ht="12.75" x14ac:dyDescent="0.25">
      <c r="B20" s="969"/>
      <c r="C20" s="965"/>
      <c r="D20" s="958"/>
      <c r="E20" s="966"/>
      <c r="F20" s="967"/>
      <c r="G20" s="967"/>
      <c r="H20" s="967"/>
      <c r="I20" s="967"/>
      <c r="J20" s="967"/>
      <c r="K20" s="967"/>
      <c r="L20" s="967"/>
      <c r="M20" s="967"/>
      <c r="N20" s="967"/>
      <c r="O20" s="967"/>
      <c r="P20" s="967"/>
      <c r="Q20" s="967"/>
      <c r="R20" s="967"/>
      <c r="S20" s="967"/>
      <c r="T20" s="967"/>
      <c r="U20" s="967"/>
      <c r="V20" s="967"/>
      <c r="W20" s="967"/>
      <c r="X20" s="967"/>
      <c r="Y20" s="968"/>
      <c r="Z20" s="1029"/>
      <c r="AA20" s="1337"/>
    </row>
    <row r="21" spans="2:27" ht="20.25" x14ac:dyDescent="0.25">
      <c r="B21" s="1338" t="s">
        <v>574</v>
      </c>
      <c r="C21" s="965"/>
      <c r="D21" s="958"/>
      <c r="E21" s="966"/>
      <c r="F21" s="967"/>
      <c r="G21" s="967"/>
      <c r="H21" s="967"/>
      <c r="I21" s="967"/>
      <c r="J21" s="967"/>
      <c r="K21" s="967"/>
      <c r="L21" s="967"/>
      <c r="M21" s="967"/>
      <c r="N21" s="967"/>
      <c r="O21" s="967"/>
      <c r="P21" s="967"/>
      <c r="Q21" s="967"/>
      <c r="R21" s="967"/>
      <c r="S21" s="967"/>
      <c r="T21" s="967"/>
      <c r="U21" s="967"/>
      <c r="V21" s="967"/>
      <c r="W21" s="967"/>
      <c r="X21" s="967"/>
      <c r="Y21" s="968"/>
      <c r="Z21" s="1029"/>
      <c r="AA21" s="1337"/>
    </row>
    <row r="22" spans="2:27" ht="12.75" x14ac:dyDescent="0.25">
      <c r="B22" s="969" t="s">
        <v>519</v>
      </c>
      <c r="C22" s="965" t="s">
        <v>471</v>
      </c>
      <c r="D22" s="958"/>
      <c r="E22" s="966">
        <f>'Build.vs.No-Build'!F5</f>
        <v>177812159.16264874</v>
      </c>
      <c r="F22" s="967">
        <f>'Build.vs.No-Build'!G5</f>
        <v>177951687.01386541</v>
      </c>
      <c r="G22" s="967">
        <f>'Build.vs.No-Build'!H5</f>
        <v>178091324.35152757</v>
      </c>
      <c r="H22" s="967">
        <f>'Build.vs.No-Build'!I5</f>
        <v>178231071.26154837</v>
      </c>
      <c r="I22" s="967">
        <f>'Build.vs.No-Build'!J5</f>
        <v>178370927.82990837</v>
      </c>
      <c r="J22" s="967">
        <f>'Build.vs.No-Build'!K5</f>
        <v>178510894.1426557</v>
      </c>
      <c r="K22" s="967">
        <f>'Build.vs.No-Build'!L5</f>
        <v>178650970.28590593</v>
      </c>
      <c r="L22" s="967">
        <f>'Build.vs.No-Build'!M5</f>
        <v>178791156.34584215</v>
      </c>
      <c r="M22" s="967">
        <f>'Build.vs.No-Build'!N5</f>
        <v>178931452.40871525</v>
      </c>
      <c r="N22" s="967">
        <f>'Build.vs.No-Build'!O5</f>
        <v>179071858.56084365</v>
      </c>
      <c r="O22" s="967">
        <f>'Build.vs.No-Build'!P5</f>
        <v>179212374.88861361</v>
      </c>
      <c r="P22" s="967">
        <f>'Build.vs.No-Build'!Q5</f>
        <v>179353001.47847897</v>
      </c>
      <c r="Q22" s="967">
        <f>'Build.vs.No-Build'!R5</f>
        <v>179493738.4169617</v>
      </c>
      <c r="R22" s="967">
        <f>'Build.vs.No-Build'!S5</f>
        <v>179634585.79065153</v>
      </c>
      <c r="S22" s="967">
        <f>'Build.vs.No-Build'!T5</f>
        <v>179775543.68620604</v>
      </c>
      <c r="T22" s="967">
        <f>'Build.vs.No-Build'!U5</f>
        <v>179916612.19035089</v>
      </c>
      <c r="U22" s="967">
        <f>'Build.vs.No-Build'!V5</f>
        <v>180057791.38987991</v>
      </c>
      <c r="V22" s="967">
        <f>'Build.vs.No-Build'!W5</f>
        <v>180199081.37165487</v>
      </c>
      <c r="W22" s="967">
        <f>'Build.vs.No-Build'!X5</f>
        <v>180340482.22260574</v>
      </c>
      <c r="X22" s="967">
        <f>'Build.vs.No-Build'!Y5</f>
        <v>180481994.02973074</v>
      </c>
      <c r="Y22" s="968">
        <f>'Build.vs.No-Build'!Z5</f>
        <v>180623616.88009629</v>
      </c>
      <c r="Z22" s="967"/>
      <c r="AA22" s="1337"/>
    </row>
    <row r="23" spans="2:27" ht="26.4" x14ac:dyDescent="0.3">
      <c r="B23" s="964" t="s">
        <v>764</v>
      </c>
      <c r="C23" s="965" t="s">
        <v>345</v>
      </c>
      <c r="D23" s="958"/>
      <c r="E23" s="966">
        <f t="shared" ref="E23:Y23" si="2">E22*SUMPRODUCT($H$7:$M$7,$H$10:$M$10)/1000000</f>
        <v>30217861.273854066</v>
      </c>
      <c r="F23" s="967">
        <f t="shared" si="2"/>
        <v>30241573.000159848</v>
      </c>
      <c r="G23" s="967">
        <f t="shared" si="2"/>
        <v>30265303.332877226</v>
      </c>
      <c r="H23" s="967">
        <f t="shared" si="2"/>
        <v>30289052.286606513</v>
      </c>
      <c r="I23" s="967">
        <f t="shared" si="2"/>
        <v>30312819.875959463</v>
      </c>
      <c r="J23" s="967">
        <f t="shared" si="2"/>
        <v>30336606.115559328</v>
      </c>
      <c r="K23" s="967">
        <f t="shared" si="2"/>
        <v>30360411.020040806</v>
      </c>
      <c r="L23" s="967">
        <f t="shared" si="2"/>
        <v>30384234.604050074</v>
      </c>
      <c r="M23" s="967">
        <f t="shared" si="2"/>
        <v>30408076.882244837</v>
      </c>
      <c r="N23" s="967">
        <f t="shared" si="2"/>
        <v>30431937.869294271</v>
      </c>
      <c r="O23" s="967">
        <f t="shared" si="2"/>
        <v>30455817.579879079</v>
      </c>
      <c r="P23" s="967">
        <f t="shared" si="2"/>
        <v>30479716.028691452</v>
      </c>
      <c r="Q23" s="967">
        <f t="shared" si="2"/>
        <v>30503633.230435167</v>
      </c>
      <c r="R23" s="967">
        <f t="shared" si="2"/>
        <v>30527569.199825499</v>
      </c>
      <c r="S23" s="967">
        <f t="shared" si="2"/>
        <v>30551523.951589264</v>
      </c>
      <c r="T23" s="967">
        <f t="shared" si="2"/>
        <v>30575497.500464853</v>
      </c>
      <c r="U23" s="967">
        <f t="shared" si="2"/>
        <v>30599489.861202225</v>
      </c>
      <c r="V23" s="967">
        <f t="shared" si="2"/>
        <v>30623501.048562903</v>
      </c>
      <c r="W23" s="967">
        <f t="shared" si="2"/>
        <v>30647531.077319987</v>
      </c>
      <c r="X23" s="967">
        <f t="shared" si="2"/>
        <v>30671579.96225819</v>
      </c>
      <c r="Y23" s="968">
        <f t="shared" si="2"/>
        <v>30695647.718173802</v>
      </c>
      <c r="Z23" s="967"/>
    </row>
    <row r="24" spans="2:27" ht="12.75" x14ac:dyDescent="0.25">
      <c r="B24" s="969"/>
      <c r="C24" s="965"/>
      <c r="D24" s="958"/>
      <c r="E24" s="966"/>
      <c r="F24" s="967"/>
      <c r="G24" s="967"/>
      <c r="H24" s="967"/>
      <c r="I24" s="967"/>
      <c r="J24" s="967"/>
      <c r="K24" s="967"/>
      <c r="L24" s="967"/>
      <c r="M24" s="967"/>
      <c r="N24" s="967"/>
      <c r="O24" s="967"/>
      <c r="P24" s="967"/>
      <c r="Q24" s="967"/>
      <c r="R24" s="967"/>
      <c r="S24" s="967"/>
      <c r="T24" s="967"/>
      <c r="U24" s="967"/>
      <c r="V24" s="967"/>
      <c r="W24" s="967"/>
      <c r="X24" s="967"/>
      <c r="Y24" s="968"/>
      <c r="Z24" s="1029"/>
    </row>
    <row r="25" spans="2:27" ht="20.25" x14ac:dyDescent="0.25">
      <c r="B25" s="1338" t="s">
        <v>575</v>
      </c>
      <c r="C25" s="965"/>
      <c r="D25" s="958"/>
      <c r="E25" s="966"/>
      <c r="F25" s="967"/>
      <c r="G25" s="967"/>
      <c r="H25" s="967"/>
      <c r="I25" s="967"/>
      <c r="J25" s="967"/>
      <c r="K25" s="967"/>
      <c r="L25" s="967"/>
      <c r="M25" s="967"/>
      <c r="N25" s="967"/>
      <c r="O25" s="967"/>
      <c r="P25" s="967"/>
      <c r="Q25" s="967"/>
      <c r="R25" s="967"/>
      <c r="S25" s="967"/>
      <c r="T25" s="967"/>
      <c r="U25" s="967"/>
      <c r="V25" s="967"/>
      <c r="W25" s="967"/>
      <c r="X25" s="967"/>
      <c r="Y25" s="968"/>
      <c r="Z25" s="1029"/>
    </row>
    <row r="26" spans="2:27" ht="12.75" x14ac:dyDescent="0.25">
      <c r="B26" s="969" t="s">
        <v>519</v>
      </c>
      <c r="C26" s="965" t="s">
        <v>472</v>
      </c>
      <c r="D26" s="958"/>
      <c r="E26" s="966">
        <f>'Build.vs.No-Build'!F6</f>
        <v>108020089.30769104</v>
      </c>
      <c r="F26" s="967">
        <f>'Build.vs.No-Build'!G6</f>
        <v>108917038.63514632</v>
      </c>
      <c r="G26" s="967">
        <f>'Build.vs.No-Build'!H6</f>
        <v>109821435.81883998</v>
      </c>
      <c r="H26" s="967">
        <f>'Build.vs.No-Build'!I6</f>
        <v>110733342.70235769</v>
      </c>
      <c r="I26" s="967">
        <f>'Build.vs.No-Build'!J6</f>
        <v>111652821.6428059</v>
      </c>
      <c r="J26" s="967">
        <f>'Build.vs.No-Build'!K6</f>
        <v>112579935.51507585</v>
      </c>
      <c r="K26" s="967">
        <f>'Build.vs.No-Build'!L6</f>
        <v>113514747.7161431</v>
      </c>
      <c r="L26" s="967">
        <f>'Build.vs.No-Build'!M6</f>
        <v>114457322.1694027</v>
      </c>
      <c r="M26" s="967">
        <f>'Build.vs.No-Build'!N6</f>
        <v>115407723.32904024</v>
      </c>
      <c r="N26" s="967">
        <f>'Build.vs.No-Build'!O6</f>
        <v>116366016.18443927</v>
      </c>
      <c r="O26" s="967">
        <f>'Build.vs.No-Build'!P6</f>
        <v>117332266.26462553</v>
      </c>
      <c r="P26" s="967">
        <f>'Build.vs.No-Build'!Q6</f>
        <v>118306539.64274769</v>
      </c>
      <c r="Q26" s="967">
        <f>'Build.vs.No-Build'!R6</f>
        <v>119288902.94059554</v>
      </c>
      <c r="R26" s="967">
        <f>'Build.vs.No-Build'!S6</f>
        <v>120279423.33315578</v>
      </c>
      <c r="S26" s="967">
        <f>'Build.vs.No-Build'!T6</f>
        <v>121278168.55320533</v>
      </c>
      <c r="T26" s="967">
        <f>'Build.vs.No-Build'!U6</f>
        <v>122285206.89594311</v>
      </c>
      <c r="U26" s="967">
        <f>'Build.vs.No-Build'!V6</f>
        <v>123300607.22366008</v>
      </c>
      <c r="V26" s="967">
        <f>'Build.vs.No-Build'!W6</f>
        <v>124324438.97044809</v>
      </c>
      <c r="W26" s="967">
        <f>'Build.vs.No-Build'!X6</f>
        <v>125356772.14694786</v>
      </c>
      <c r="X26" s="967">
        <f>'Build.vs.No-Build'!Y6</f>
        <v>126397677.34513642</v>
      </c>
      <c r="Y26" s="968">
        <f>'Build.vs.No-Build'!Z6</f>
        <v>127447225.74315426</v>
      </c>
      <c r="Z26" s="967"/>
    </row>
    <row r="27" spans="2:27" ht="26.4" x14ac:dyDescent="0.3">
      <c r="B27" s="964" t="s">
        <v>764</v>
      </c>
      <c r="C27" s="965" t="s">
        <v>473</v>
      </c>
      <c r="D27" s="958"/>
      <c r="E27" s="966">
        <f t="shared" ref="E27:Y27" si="3">E26*SUMPRODUCT($H$7:$M$7,$H$10:$M$10)/1000000</f>
        <v>18357215.214418251</v>
      </c>
      <c r="F27" s="967">
        <f t="shared" si="3"/>
        <v>18509645.118393082</v>
      </c>
      <c r="G27" s="967">
        <f t="shared" si="3"/>
        <v>18663340.730448056</v>
      </c>
      <c r="H27" s="967">
        <f t="shared" si="3"/>
        <v>18818312.560443129</v>
      </c>
      <c r="I27" s="967">
        <f t="shared" si="3"/>
        <v>18974571.205507323</v>
      </c>
      <c r="J27" s="967">
        <f t="shared" si="3"/>
        <v>19132127.350763351</v>
      </c>
      <c r="K27" s="967">
        <f t="shared" si="3"/>
        <v>19290991.770058308</v>
      </c>
      <c r="L27" s="967">
        <f t="shared" si="3"/>
        <v>19451175.326700371</v>
      </c>
      <c r="M27" s="967">
        <f t="shared" si="3"/>
        <v>19612688.974201649</v>
      </c>
      <c r="N27" s="967">
        <f t="shared" si="3"/>
        <v>19775543.757027186</v>
      </c>
      <c r="O27" s="967">
        <f t="shared" si="3"/>
        <v>19939750.811350234</v>
      </c>
      <c r="P27" s="967">
        <f t="shared" si="3"/>
        <v>20105321.365813691</v>
      </c>
      <c r="Q27" s="967">
        <f t="shared" si="3"/>
        <v>20272266.742297977</v>
      </c>
      <c r="R27" s="967">
        <f t="shared" si="3"/>
        <v>20440598.356695224</v>
      </c>
      <c r="S27" s="967">
        <f t="shared" si="3"/>
        <v>20610327.719689887</v>
      </c>
      <c r="T27" s="967">
        <f t="shared" si="3"/>
        <v>20781466.437545884</v>
      </c>
      <c r="U27" s="967">
        <f t="shared" si="3"/>
        <v>20954026.212900225</v>
      </c>
      <c r="V27" s="967">
        <f t="shared" si="3"/>
        <v>21128018.845563263</v>
      </c>
      <c r="W27" s="967">
        <f t="shared" si="3"/>
        <v>21303456.233325552</v>
      </c>
      <c r="X27" s="967">
        <f t="shared" si="3"/>
        <v>21480350.372771457</v>
      </c>
      <c r="Y27" s="968">
        <f t="shared" si="3"/>
        <v>21658713.360099494</v>
      </c>
      <c r="Z27" s="967"/>
    </row>
    <row r="28" spans="2:27" ht="12.75" x14ac:dyDescent="0.25">
      <c r="B28" s="969"/>
      <c r="C28" s="965"/>
      <c r="D28" s="958"/>
      <c r="E28" s="966"/>
      <c r="F28" s="967"/>
      <c r="G28" s="967"/>
      <c r="H28" s="967"/>
      <c r="I28" s="967"/>
      <c r="J28" s="967"/>
      <c r="K28" s="967"/>
      <c r="L28" s="967"/>
      <c r="M28" s="967"/>
      <c r="N28" s="967"/>
      <c r="O28" s="967"/>
      <c r="P28" s="967"/>
      <c r="Q28" s="967"/>
      <c r="R28" s="967"/>
      <c r="S28" s="967"/>
      <c r="T28" s="967"/>
      <c r="U28" s="967"/>
      <c r="V28" s="967"/>
      <c r="W28" s="967"/>
      <c r="X28" s="967"/>
      <c r="Y28" s="968"/>
      <c r="Z28" s="1029"/>
    </row>
    <row r="29" spans="2:27" ht="20.25" x14ac:dyDescent="0.25">
      <c r="B29" s="1027" t="s">
        <v>469</v>
      </c>
      <c r="C29" s="965"/>
      <c r="D29" s="958"/>
      <c r="E29" s="1049"/>
      <c r="F29" s="1029"/>
      <c r="G29" s="1029"/>
      <c r="H29" s="1029"/>
      <c r="I29" s="1029"/>
      <c r="J29" s="1029"/>
      <c r="K29" s="1029"/>
      <c r="L29" s="1029"/>
      <c r="M29" s="1029"/>
      <c r="N29" s="1029"/>
      <c r="O29" s="1029"/>
      <c r="P29" s="1029"/>
      <c r="Q29" s="1029"/>
      <c r="R29" s="1029"/>
      <c r="S29" s="1029"/>
      <c r="T29" s="1029"/>
      <c r="U29" s="1029"/>
      <c r="V29" s="1029"/>
      <c r="W29" s="1029"/>
      <c r="X29" s="1029"/>
      <c r="Y29" s="1339"/>
      <c r="Z29" s="967"/>
    </row>
    <row r="30" spans="2:27" ht="12.75" x14ac:dyDescent="0.25">
      <c r="B30" s="969" t="s">
        <v>519</v>
      </c>
      <c r="C30" s="965" t="s">
        <v>474</v>
      </c>
      <c r="D30" s="958"/>
      <c r="E30" s="1030">
        <f>E18+E22+E26</f>
        <v>614040720.01163816</v>
      </c>
      <c r="F30" s="1031">
        <f t="shared" ref="F30:Y30" si="4">F18+F22+F26</f>
        <v>617835397.90280497</v>
      </c>
      <c r="G30" s="1031">
        <f t="shared" si="4"/>
        <v>621660812.52363086</v>
      </c>
      <c r="H30" s="1031">
        <f t="shared" si="4"/>
        <v>625517220.59871364</v>
      </c>
      <c r="I30" s="1031">
        <f t="shared" si="4"/>
        <v>629404881.00325954</v>
      </c>
      <c r="J30" s="1031">
        <f t="shared" si="4"/>
        <v>633324054.78110492</v>
      </c>
      <c r="K30" s="1031">
        <f t="shared" si="4"/>
        <v>637275005.16288865</v>
      </c>
      <c r="L30" s="1031">
        <f t="shared" si="4"/>
        <v>641257997.58437586</v>
      </c>
      <c r="M30" s="1031">
        <f t="shared" si="4"/>
        <v>645273299.70493734</v>
      </c>
      <c r="N30" s="1031">
        <f t="shared" si="4"/>
        <v>649321181.42618167</v>
      </c>
      <c r="O30" s="1031">
        <f t="shared" si="4"/>
        <v>653401914.91074479</v>
      </c>
      <c r="P30" s="1031">
        <f t="shared" si="4"/>
        <v>657515774.6012361</v>
      </c>
      <c r="Q30" s="1031">
        <f t="shared" si="4"/>
        <v>661663037.23934495</v>
      </c>
      <c r="R30" s="1031">
        <f t="shared" si="4"/>
        <v>665843981.88510478</v>
      </c>
      <c r="S30" s="1031">
        <f t="shared" si="4"/>
        <v>670058889.9363209</v>
      </c>
      <c r="T30" s="1031">
        <f t="shared" si="4"/>
        <v>674308045.1481595</v>
      </c>
      <c r="U30" s="1031">
        <f t="shared" si="4"/>
        <v>678591733.65290332</v>
      </c>
      <c r="V30" s="1031">
        <f t="shared" si="4"/>
        <v>682910243.97986865</v>
      </c>
      <c r="W30" s="1031">
        <f t="shared" si="4"/>
        <v>687263867.07549322</v>
      </c>
      <c r="X30" s="1031">
        <f t="shared" si="4"/>
        <v>691652896.32359087</v>
      </c>
      <c r="Y30" s="1032">
        <f t="shared" si="4"/>
        <v>696077627.56577539</v>
      </c>
      <c r="Z30" s="967"/>
    </row>
    <row r="31" spans="2:27" ht="12.75" x14ac:dyDescent="0.25">
      <c r="B31" s="969" t="s">
        <v>476</v>
      </c>
      <c r="C31" s="965" t="s">
        <v>475</v>
      </c>
      <c r="D31" s="958"/>
      <c r="E31" s="966">
        <f>E19+E23+E27</f>
        <v>104351678.6545316</v>
      </c>
      <c r="F31" s="967">
        <f t="shared" ref="F31:Y31" si="5">F19+F23+F27</f>
        <v>104996556.09505215</v>
      </c>
      <c r="G31" s="967">
        <f t="shared" si="5"/>
        <v>105646657.01543607</v>
      </c>
      <c r="H31" s="967">
        <f t="shared" si="5"/>
        <v>106302025.04412992</v>
      </c>
      <c r="I31" s="967">
        <f t="shared" si="5"/>
        <v>106962704.17506024</v>
      </c>
      <c r="J31" s="967">
        <f t="shared" si="5"/>
        <v>107628738.77069624</v>
      </c>
      <c r="K31" s="967">
        <f t="shared" si="5"/>
        <v>108300173.565138</v>
      </c>
      <c r="L31" s="967">
        <f t="shared" si="5"/>
        <v>108977053.66723056</v>
      </c>
      <c r="M31" s="967">
        <f t="shared" si="5"/>
        <v>109659424.56370427</v>
      </c>
      <c r="N31" s="967">
        <f t="shared" si="5"/>
        <v>110347332.12234116</v>
      </c>
      <c r="O31" s="967">
        <f t="shared" si="5"/>
        <v>111040822.59516817</v>
      </c>
      <c r="P31" s="967">
        <f t="shared" si="5"/>
        <v>111739942.62167692</v>
      </c>
      <c r="Q31" s="967">
        <f t="shared" si="5"/>
        <v>112444739.23207057</v>
      </c>
      <c r="R31" s="967">
        <f t="shared" si="5"/>
        <v>113155259.85053776</v>
      </c>
      <c r="S31" s="967">
        <f t="shared" si="5"/>
        <v>113871552.29855417</v>
      </c>
      <c r="T31" s="967">
        <f t="shared" si="5"/>
        <v>114593664.79821156</v>
      </c>
      <c r="U31" s="967">
        <f t="shared" si="5"/>
        <v>115321645.97557491</v>
      </c>
      <c r="V31" s="967">
        <f t="shared" si="5"/>
        <v>116055544.86406757</v>
      </c>
      <c r="W31" s="967">
        <f t="shared" si="5"/>
        <v>116795410.9078846</v>
      </c>
      <c r="X31" s="967">
        <f t="shared" si="5"/>
        <v>117541293.96543516</v>
      </c>
      <c r="Y31" s="968">
        <f t="shared" si="5"/>
        <v>118293244.31281333</v>
      </c>
      <c r="Z31" s="1029"/>
    </row>
    <row r="32" spans="2:27" ht="12.75" x14ac:dyDescent="0.25">
      <c r="B32" s="969"/>
      <c r="C32" s="965"/>
      <c r="D32" s="958"/>
      <c r="E32" s="966"/>
      <c r="F32" s="967"/>
      <c r="G32" s="967"/>
      <c r="H32" s="967"/>
      <c r="I32" s="967"/>
      <c r="J32" s="967"/>
      <c r="K32" s="967"/>
      <c r="L32" s="967"/>
      <c r="M32" s="967"/>
      <c r="N32" s="967"/>
      <c r="O32" s="967"/>
      <c r="P32" s="967"/>
      <c r="Q32" s="967"/>
      <c r="R32" s="967"/>
      <c r="S32" s="967"/>
      <c r="T32" s="967"/>
      <c r="U32" s="967"/>
      <c r="V32" s="967"/>
      <c r="W32" s="967"/>
      <c r="X32" s="967"/>
      <c r="Y32" s="968"/>
      <c r="Z32" s="1029"/>
    </row>
    <row r="33" spans="2:27" ht="20.25" x14ac:dyDescent="0.3">
      <c r="B33" s="1340" t="s">
        <v>347</v>
      </c>
      <c r="C33" s="965"/>
      <c r="D33" s="958"/>
      <c r="E33" s="966"/>
      <c r="F33" s="967"/>
      <c r="G33" s="967"/>
      <c r="H33" s="967"/>
      <c r="I33" s="967"/>
      <c r="J33" s="967"/>
      <c r="K33" s="967"/>
      <c r="L33" s="967"/>
      <c r="M33" s="967"/>
      <c r="N33" s="967"/>
      <c r="O33" s="967"/>
      <c r="P33" s="967"/>
      <c r="Q33" s="967"/>
      <c r="R33" s="967"/>
      <c r="S33" s="967"/>
      <c r="T33" s="967"/>
      <c r="U33" s="967"/>
      <c r="V33" s="967"/>
      <c r="W33" s="967"/>
      <c r="X33" s="967"/>
      <c r="Y33" s="968"/>
      <c r="Z33" s="1029"/>
    </row>
    <row r="34" spans="2:27" ht="12.75" x14ac:dyDescent="0.25">
      <c r="B34" s="969" t="s">
        <v>519</v>
      </c>
      <c r="C34" s="965" t="s">
        <v>477</v>
      </c>
      <c r="D34" s="958"/>
      <c r="E34" s="1030">
        <f>'Build.vs.No-Build'!F7</f>
        <v>47512403.086307317</v>
      </c>
      <c r="F34" s="1031">
        <f>'Build.vs.No-Build'!G7</f>
        <v>47823729.657975234</v>
      </c>
      <c r="G34" s="1031">
        <f>'Build.vs.No-Build'!H7</f>
        <v>48137096.207163334</v>
      </c>
      <c r="H34" s="1031">
        <f>'Build.vs.No-Build'!I7</f>
        <v>48452516.100890905</v>
      </c>
      <c r="I34" s="1031">
        <f>'Build.vs.No-Build'!J7</f>
        <v>48770002.793765053</v>
      </c>
      <c r="J34" s="1031">
        <f>'Build.vs.No-Build'!K7</f>
        <v>49089569.8285546</v>
      </c>
      <c r="K34" s="1031">
        <f>'Build.vs.No-Build'!L7</f>
        <v>49411230.836767867</v>
      </c>
      <c r="L34" s="1031">
        <f>'Build.vs.No-Build'!M7</f>
        <v>49734999.539234027</v>
      </c>
      <c r="M34" s="1031">
        <f>'Build.vs.No-Build'!N7</f>
        <v>50060889.746688448</v>
      </c>
      <c r="N34" s="1031">
        <f>'Build.vs.No-Build'!O7</f>
        <v>50388915.360361814</v>
      </c>
      <c r="O34" s="1031">
        <f>'Build.vs.No-Build'!P7</f>
        <v>50719090.37257304</v>
      </c>
      <c r="P34" s="1031">
        <f>'Build.vs.No-Build'!Q7</f>
        <v>51051428.867326185</v>
      </c>
      <c r="Q34" s="1031">
        <f>'Build.vs.No-Build'!R7</f>
        <v>51385945.020911202</v>
      </c>
      <c r="R34" s="1031">
        <f>'Build.vs.No-Build'!S7</f>
        <v>51722653.102508679</v>
      </c>
      <c r="S34" s="1031">
        <f>'Build.vs.No-Build'!T7</f>
        <v>52061567.474798411</v>
      </c>
      <c r="T34" s="1031">
        <f>'Build.vs.No-Build'!U7</f>
        <v>52402702.594572172</v>
      </c>
      <c r="U34" s="1031">
        <f>'Build.vs.No-Build'!V7</f>
        <v>52746073.013350315</v>
      </c>
      <c r="V34" s="1031">
        <f>'Build.vs.No-Build'!W7</f>
        <v>53091693.378002509</v>
      </c>
      <c r="W34" s="1031">
        <f>'Build.vs.No-Build'!X7</f>
        <v>53439578.431372523</v>
      </c>
      <c r="X34" s="1031">
        <f>'Build.vs.No-Build'!Y7</f>
        <v>53789743.012907073</v>
      </c>
      <c r="Y34" s="1032">
        <f>'Build.vs.No-Build'!Z7</f>
        <v>54142202.059288852</v>
      </c>
      <c r="Z34" s="967"/>
      <c r="AA34" s="967"/>
    </row>
    <row r="35" spans="2:27" ht="26.4" x14ac:dyDescent="0.3">
      <c r="B35" s="964" t="s">
        <v>764</v>
      </c>
      <c r="C35" s="965" t="s">
        <v>478</v>
      </c>
      <c r="D35" s="958"/>
      <c r="E35" s="966">
        <f t="shared" ref="E35:Y35" si="6">E34*SUMPRODUCT($H$7:$M$7,$H$10:$M$10)/1000000</f>
        <v>8074381.4821807677</v>
      </c>
      <c r="F35" s="967">
        <f t="shared" si="6"/>
        <v>8127289.1303293984</v>
      </c>
      <c r="G35" s="967">
        <f t="shared" si="6"/>
        <v>8180543.4575690255</v>
      </c>
      <c r="H35" s="967">
        <f t="shared" si="6"/>
        <v>8234146.7355257086</v>
      </c>
      <c r="I35" s="967">
        <f t="shared" si="6"/>
        <v>8288101.250710411</v>
      </c>
      <c r="J35" s="967">
        <f t="shared" si="6"/>
        <v>8342409.304616523</v>
      </c>
      <c r="K35" s="967">
        <f t="shared" si="6"/>
        <v>8397073.2138180621</v>
      </c>
      <c r="L35" s="967">
        <f t="shared" si="6"/>
        <v>8452095.3100684583</v>
      </c>
      <c r="M35" s="967">
        <f t="shared" si="6"/>
        <v>8507477.9404000398</v>
      </c>
      <c r="N35" s="967">
        <f t="shared" si="6"/>
        <v>8563223.4672241397</v>
      </c>
      <c r="O35" s="967">
        <f t="shared" si="6"/>
        <v>8619334.2684318665</v>
      </c>
      <c r="P35" s="967">
        <f t="shared" si="6"/>
        <v>8675812.737495536</v>
      </c>
      <c r="Q35" s="967">
        <f t="shared" si="6"/>
        <v>8732661.2835707739</v>
      </c>
      <c r="R35" s="967">
        <f t="shared" si="6"/>
        <v>8789882.3315992784</v>
      </c>
      <c r="S35" s="967">
        <f t="shared" si="6"/>
        <v>8847478.3224122506</v>
      </c>
      <c r="T35" s="967">
        <f t="shared" si="6"/>
        <v>8905451.7128345203</v>
      </c>
      <c r="U35" s="967">
        <f t="shared" si="6"/>
        <v>8963804.9757893439</v>
      </c>
      <c r="V35" s="967">
        <f t="shared" si="6"/>
        <v>9022540.6004038882</v>
      </c>
      <c r="W35" s="967">
        <f t="shared" si="6"/>
        <v>9081661.0921154059</v>
      </c>
      <c r="X35" s="967">
        <f t="shared" si="6"/>
        <v>9141168.972778108</v>
      </c>
      <c r="Y35" s="968">
        <f t="shared" si="6"/>
        <v>9201066.7807707377</v>
      </c>
      <c r="Z35" s="967"/>
    </row>
    <row r="36" spans="2:27" ht="13.5" thickBot="1" x14ac:dyDescent="0.3">
      <c r="B36" s="974"/>
      <c r="C36" s="975"/>
      <c r="D36" s="1341"/>
      <c r="E36" s="977"/>
      <c r="F36" s="978"/>
      <c r="G36" s="978"/>
      <c r="H36" s="978"/>
      <c r="I36" s="978"/>
      <c r="J36" s="978"/>
      <c r="K36" s="978"/>
      <c r="L36" s="978"/>
      <c r="M36" s="978"/>
      <c r="N36" s="978"/>
      <c r="O36" s="978"/>
      <c r="P36" s="978"/>
      <c r="Q36" s="978"/>
      <c r="R36" s="978"/>
      <c r="S36" s="978"/>
      <c r="T36" s="978"/>
      <c r="U36" s="978"/>
      <c r="V36" s="978"/>
      <c r="W36" s="978"/>
      <c r="X36" s="978"/>
      <c r="Y36" s="979"/>
      <c r="Z36" s="1029"/>
    </row>
    <row r="37" spans="2:27" ht="12.75" x14ac:dyDescent="0.25">
      <c r="B37" s="958"/>
      <c r="C37" s="965"/>
      <c r="D37" s="958"/>
      <c r="E37" s="958"/>
      <c r="F37" s="967"/>
      <c r="G37" s="967"/>
      <c r="H37" s="967"/>
      <c r="I37" s="967"/>
      <c r="J37" s="967"/>
      <c r="K37" s="967"/>
      <c r="L37" s="967"/>
      <c r="M37" s="967"/>
      <c r="N37" s="967"/>
      <c r="O37" s="967"/>
      <c r="P37" s="967"/>
      <c r="Q37" s="967"/>
      <c r="R37" s="967"/>
      <c r="S37" s="967"/>
      <c r="T37" s="967"/>
      <c r="U37" s="967"/>
      <c r="V37" s="967"/>
      <c r="W37" s="967"/>
      <c r="X37" s="967"/>
      <c r="Y37" s="967"/>
      <c r="Z37" s="1029"/>
    </row>
    <row r="38" spans="2:27" ht="13.5" thickBot="1" x14ac:dyDescent="0.3">
      <c r="B38" s="958"/>
      <c r="C38" s="965"/>
      <c r="D38" s="958"/>
      <c r="E38" s="958"/>
      <c r="F38" s="967"/>
      <c r="G38" s="967"/>
      <c r="H38" s="967"/>
      <c r="I38" s="967"/>
      <c r="J38" s="967"/>
      <c r="K38" s="967"/>
      <c r="L38" s="967"/>
      <c r="M38" s="967"/>
      <c r="N38" s="967"/>
      <c r="O38" s="967"/>
      <c r="P38" s="967"/>
      <c r="Q38" s="967"/>
      <c r="R38" s="967"/>
      <c r="S38" s="967"/>
      <c r="T38" s="967"/>
      <c r="U38" s="967"/>
      <c r="V38" s="967"/>
      <c r="W38" s="967"/>
      <c r="X38" s="967"/>
      <c r="Y38" s="967"/>
      <c r="Z38" s="1029"/>
    </row>
    <row r="39" spans="2:27" ht="21" thickBot="1" x14ac:dyDescent="0.3">
      <c r="B39" s="954"/>
      <c r="C39" s="955"/>
      <c r="D39" s="955"/>
      <c r="E39" s="1818" t="s">
        <v>503</v>
      </c>
      <c r="F39" s="1819"/>
      <c r="G39" s="1819"/>
      <c r="H39" s="1819"/>
      <c r="I39" s="1819"/>
      <c r="J39" s="1819"/>
      <c r="K39" s="1819"/>
      <c r="L39" s="1819"/>
      <c r="M39" s="1819"/>
      <c r="N39" s="1819"/>
      <c r="O39" s="1819"/>
      <c r="P39" s="1819"/>
      <c r="Q39" s="1819"/>
      <c r="R39" s="1819"/>
      <c r="S39" s="1819"/>
      <c r="T39" s="1819"/>
      <c r="U39" s="1819"/>
      <c r="V39" s="1819"/>
      <c r="W39" s="1819"/>
      <c r="X39" s="1819"/>
      <c r="Y39" s="1820"/>
      <c r="Z39" s="1029"/>
    </row>
    <row r="40" spans="2:27" ht="13.5" thickBot="1" x14ac:dyDescent="0.3">
      <c r="B40" s="957"/>
      <c r="C40" s="958"/>
      <c r="D40" s="958"/>
      <c r="E40" s="712">
        <v>2023</v>
      </c>
      <c r="F40" s="417">
        <f>E40+1</f>
        <v>2024</v>
      </c>
      <c r="G40" s="417">
        <f t="shared" ref="G40:Y40" si="7">F40+1</f>
        <v>2025</v>
      </c>
      <c r="H40" s="417">
        <f t="shared" si="7"/>
        <v>2026</v>
      </c>
      <c r="I40" s="417">
        <f t="shared" si="7"/>
        <v>2027</v>
      </c>
      <c r="J40" s="417">
        <f t="shared" si="7"/>
        <v>2028</v>
      </c>
      <c r="K40" s="417">
        <f t="shared" si="7"/>
        <v>2029</v>
      </c>
      <c r="L40" s="417">
        <f t="shared" si="7"/>
        <v>2030</v>
      </c>
      <c r="M40" s="417">
        <f t="shared" si="7"/>
        <v>2031</v>
      </c>
      <c r="N40" s="417">
        <f t="shared" si="7"/>
        <v>2032</v>
      </c>
      <c r="O40" s="417">
        <f t="shared" si="7"/>
        <v>2033</v>
      </c>
      <c r="P40" s="417">
        <f t="shared" si="7"/>
        <v>2034</v>
      </c>
      <c r="Q40" s="417">
        <f t="shared" si="7"/>
        <v>2035</v>
      </c>
      <c r="R40" s="417">
        <f t="shared" si="7"/>
        <v>2036</v>
      </c>
      <c r="S40" s="417">
        <f t="shared" si="7"/>
        <v>2037</v>
      </c>
      <c r="T40" s="417">
        <f t="shared" si="7"/>
        <v>2038</v>
      </c>
      <c r="U40" s="417">
        <f t="shared" si="7"/>
        <v>2039</v>
      </c>
      <c r="V40" s="417">
        <f t="shared" si="7"/>
        <v>2040</v>
      </c>
      <c r="W40" s="417">
        <f t="shared" si="7"/>
        <v>2041</v>
      </c>
      <c r="X40" s="417">
        <f t="shared" si="7"/>
        <v>2042</v>
      </c>
      <c r="Y40" s="713">
        <f t="shared" si="7"/>
        <v>2043</v>
      </c>
      <c r="Z40" s="1029"/>
    </row>
    <row r="41" spans="2:27" ht="20.25" x14ac:dyDescent="0.25">
      <c r="B41" s="960" t="s">
        <v>573</v>
      </c>
      <c r="C41" s="601"/>
      <c r="D41" s="601"/>
      <c r="E41" s="962"/>
      <c r="F41" s="435"/>
      <c r="G41" s="435"/>
      <c r="H41" s="435"/>
      <c r="I41" s="435"/>
      <c r="J41" s="435"/>
      <c r="K41" s="435"/>
      <c r="L41" s="435"/>
      <c r="M41" s="435"/>
      <c r="N41" s="435"/>
      <c r="O41" s="435"/>
      <c r="P41" s="435"/>
      <c r="Q41" s="435"/>
      <c r="R41" s="435"/>
      <c r="S41" s="435"/>
      <c r="T41" s="435"/>
      <c r="U41" s="435"/>
      <c r="V41" s="435"/>
      <c r="W41" s="435"/>
      <c r="X41" s="435"/>
      <c r="Y41" s="963"/>
      <c r="Z41" s="1029"/>
    </row>
    <row r="42" spans="2:27" ht="12.75" x14ac:dyDescent="0.25">
      <c r="B42" s="969" t="s">
        <v>607</v>
      </c>
      <c r="C42" s="965" t="s">
        <v>343</v>
      </c>
      <c r="D42" s="958"/>
      <c r="E42" s="966">
        <f>'Build.vs.No-Build'!F37</f>
        <v>379448813.98219019</v>
      </c>
      <c r="F42" s="967">
        <f>'Build.vs.No-Build'!G37</f>
        <v>383417061.16706127</v>
      </c>
      <c r="G42" s="967">
        <f>'Build.vs.No-Build'!H37</f>
        <v>387426807.98281795</v>
      </c>
      <c r="H42" s="967">
        <f>'Build.vs.No-Build'!I37</f>
        <v>391478488.42948186</v>
      </c>
      <c r="I42" s="967">
        <f>'Build.vs.No-Build'!J37</f>
        <v>395572541.04581386</v>
      </c>
      <c r="J42" s="967">
        <f>'Build.vs.No-Build'!K37</f>
        <v>399709408.95678085</v>
      </c>
      <c r="K42" s="967">
        <f>'Build.vs.No-Build'!L37</f>
        <v>403889539.9215166</v>
      </c>
      <c r="L42" s="967">
        <f>'Build.vs.No-Build'!M37</f>
        <v>408113386.38178694</v>
      </c>
      <c r="M42" s="967">
        <f>'Build.vs.No-Build'!N37</f>
        <v>412381405.51095927</v>
      </c>
      <c r="N42" s="967">
        <f>'Build.vs.No-Build'!O37</f>
        <v>416694059.26348585</v>
      </c>
      <c r="O42" s="967">
        <f>'Build.vs.No-Build'!P37</f>
        <v>421051814.42490387</v>
      </c>
      <c r="P42" s="967">
        <f>'Build.vs.No-Build'!Q37</f>
        <v>425455142.66235864</v>
      </c>
      <c r="Q42" s="967">
        <f>'Build.vs.No-Build'!R37</f>
        <v>429904520.57565498</v>
      </c>
      <c r="R42" s="967">
        <f>'Build.vs.No-Build'!S37</f>
        <v>434400429.74884272</v>
      </c>
      <c r="S42" s="967">
        <f>'Build.vs.No-Build'!T37</f>
        <v>438943356.80234122</v>
      </c>
      <c r="T42" s="967">
        <f>'Build.vs.No-Build'!U37</f>
        <v>443533793.44561011</v>
      </c>
      <c r="U42" s="967">
        <f>'Build.vs.No-Build'!V37</f>
        <v>448172236.53036928</v>
      </c>
      <c r="V42" s="967">
        <f>'Build.vs.No-Build'!W37</f>
        <v>452859188.10437661</v>
      </c>
      <c r="W42" s="967">
        <f>'Build.vs.No-Build'!X37</f>
        <v>457595155.46576762</v>
      </c>
      <c r="X42" s="967">
        <f>'Build.vs.No-Build'!Y37</f>
        <v>462380651.21796399</v>
      </c>
      <c r="Y42" s="968">
        <f>'Build.vs.No-Build'!Z37</f>
        <v>467216193.32515496</v>
      </c>
      <c r="Z42" s="967"/>
      <c r="AA42" s="1337"/>
    </row>
    <row r="43" spans="2:27" ht="26.4" x14ac:dyDescent="0.3">
      <c r="B43" s="964" t="s">
        <v>764</v>
      </c>
      <c r="C43" s="965" t="s">
        <v>344</v>
      </c>
      <c r="D43" s="958"/>
      <c r="E43" s="966">
        <f t="shared" ref="E43:Y43" si="8">E42*SUMPRODUCT($H$11:$M$11,$H$10:$M$10)/1000000</f>
        <v>48218301.927064531</v>
      </c>
      <c r="F43" s="967">
        <f t="shared" si="8"/>
        <v>48722565.30549828</v>
      </c>
      <c r="G43" s="967">
        <f t="shared" si="8"/>
        <v>49232102.232453376</v>
      </c>
      <c r="H43" s="967">
        <f t="shared" si="8"/>
        <v>49746967.858304016</v>
      </c>
      <c r="I43" s="967">
        <f t="shared" si="8"/>
        <v>50267217.910182819</v>
      </c>
      <c r="J43" s="967">
        <f t="shared" si="8"/>
        <v>50792908.69801265</v>
      </c>
      <c r="K43" s="967">
        <f t="shared" si="8"/>
        <v>51324097.120601214</v>
      </c>
      <c r="L43" s="967">
        <f t="shared" si="8"/>
        <v>51860840.671799757</v>
      </c>
      <c r="M43" s="967">
        <f t="shared" si="8"/>
        <v>52403197.446725868</v>
      </c>
      <c r="N43" s="967">
        <f t="shared" si="8"/>
        <v>52951226.148051508</v>
      </c>
      <c r="O43" s="967">
        <f t="shared" si="8"/>
        <v>53504986.092356779</v>
      </c>
      <c r="P43" s="967">
        <f t="shared" si="8"/>
        <v>54064537.216550119</v>
      </c>
      <c r="Q43" s="967">
        <f t="shared" si="8"/>
        <v>54629940.084355637</v>
      </c>
      <c r="R43" s="967">
        <f t="shared" si="8"/>
        <v>55201255.892868355</v>
      </c>
      <c r="S43" s="967">
        <f t="shared" si="8"/>
        <v>55778546.479177855</v>
      </c>
      <c r="T43" s="967">
        <f t="shared" si="8"/>
        <v>56361874.327061407</v>
      </c>
      <c r="U43" s="967">
        <f t="shared" si="8"/>
        <v>56951302.573746927</v>
      </c>
      <c r="V43" s="967">
        <f t="shared" si="8"/>
        <v>57546895.016746692</v>
      </c>
      <c r="W43" s="967">
        <f t="shared" si="8"/>
        <v>58148716.120762564</v>
      </c>
      <c r="X43" s="967">
        <f t="shared" si="8"/>
        <v>58756831.024663463</v>
      </c>
      <c r="Y43" s="968">
        <f t="shared" si="8"/>
        <v>59371305.54853563</v>
      </c>
      <c r="Z43" s="967"/>
      <c r="AA43" s="1337"/>
    </row>
    <row r="44" spans="2:27" ht="12.75" x14ac:dyDescent="0.25">
      <c r="B44" s="969"/>
      <c r="C44" s="965"/>
      <c r="D44" s="958"/>
      <c r="E44" s="966"/>
      <c r="F44" s="967"/>
      <c r="G44" s="967"/>
      <c r="H44" s="967"/>
      <c r="I44" s="967"/>
      <c r="J44" s="967"/>
      <c r="K44" s="967"/>
      <c r="L44" s="967"/>
      <c r="M44" s="967"/>
      <c r="N44" s="967"/>
      <c r="O44" s="967"/>
      <c r="P44" s="967"/>
      <c r="Q44" s="967"/>
      <c r="R44" s="967"/>
      <c r="S44" s="967"/>
      <c r="T44" s="967"/>
      <c r="U44" s="967"/>
      <c r="V44" s="967"/>
      <c r="W44" s="967"/>
      <c r="X44" s="967"/>
      <c r="Y44" s="968"/>
      <c r="Z44" s="1029"/>
      <c r="AA44" s="1337"/>
    </row>
    <row r="45" spans="2:27" ht="20.25" x14ac:dyDescent="0.25">
      <c r="B45" s="1338" t="s">
        <v>574</v>
      </c>
      <c r="C45" s="965"/>
      <c r="D45" s="958"/>
      <c r="E45" s="966"/>
      <c r="F45" s="967"/>
      <c r="G45" s="967"/>
      <c r="H45" s="967"/>
      <c r="I45" s="967"/>
      <c r="J45" s="967"/>
      <c r="K45" s="967"/>
      <c r="L45" s="967"/>
      <c r="M45" s="967"/>
      <c r="N45" s="967"/>
      <c r="O45" s="967"/>
      <c r="P45" s="967"/>
      <c r="Q45" s="967"/>
      <c r="R45" s="967"/>
      <c r="S45" s="967"/>
      <c r="T45" s="967"/>
      <c r="U45" s="967"/>
      <c r="V45" s="967"/>
      <c r="W45" s="967"/>
      <c r="X45" s="967"/>
      <c r="Y45" s="968"/>
      <c r="Z45" s="1029"/>
      <c r="AA45" s="1337"/>
    </row>
    <row r="46" spans="2:27" ht="12.75" x14ac:dyDescent="0.25">
      <c r="B46" s="969" t="s">
        <v>607</v>
      </c>
      <c r="C46" s="965" t="s">
        <v>471</v>
      </c>
      <c r="D46" s="958"/>
      <c r="E46" s="966">
        <f>'Build.vs.No-Build'!F38</f>
        <v>205981376.3284108</v>
      </c>
      <c r="F46" s="967">
        <f>'Build.vs.No-Build'!G38</f>
        <v>206544196.519658</v>
      </c>
      <c r="G46" s="967">
        <f>'Build.vs.No-Build'!H38</f>
        <v>207108554.55172035</v>
      </c>
      <c r="H46" s="967">
        <f>'Build.vs.No-Build'!I38</f>
        <v>207674454.62656927</v>
      </c>
      <c r="I46" s="967">
        <f>'Build.vs.No-Build'!J38</f>
        <v>208241900.95765764</v>
      </c>
      <c r="J46" s="967">
        <f>'Build.vs.No-Build'!K38</f>
        <v>208810897.76995102</v>
      </c>
      <c r="K46" s="967">
        <f>'Build.vs.No-Build'!L38</f>
        <v>209381449.2999593</v>
      </c>
      <c r="L46" s="967">
        <f>'Build.vs.No-Build'!M38</f>
        <v>209953559.79576808</v>
      </c>
      <c r="M46" s="967">
        <f>'Build.vs.No-Build'!N38</f>
        <v>210527233.51707035</v>
      </c>
      <c r="N46" s="967">
        <f>'Build.vs.No-Build'!O38</f>
        <v>211102474.73519826</v>
      </c>
      <c r="O46" s="967">
        <f>'Build.vs.No-Build'!P38</f>
        <v>211679287.73315492</v>
      </c>
      <c r="P46" s="967">
        <f>'Build.vs.No-Build'!Q38</f>
        <v>212257676.80564606</v>
      </c>
      <c r="Q46" s="967">
        <f>'Build.vs.No-Build'!R38</f>
        <v>212837646.25911251</v>
      </c>
      <c r="R46" s="967">
        <f>'Build.vs.No-Build'!S38</f>
        <v>213419200.41176152</v>
      </c>
      <c r="S46" s="967">
        <f>'Build.vs.No-Build'!T38</f>
        <v>214002343.59359983</v>
      </c>
      <c r="T46" s="967">
        <f>'Build.vs.No-Build'!U38</f>
        <v>214587080.14646497</v>
      </c>
      <c r="U46" s="967">
        <f>'Build.vs.No-Build'!V38</f>
        <v>215173414.42405835</v>
      </c>
      <c r="V46" s="967">
        <f>'Build.vs.No-Build'!W38</f>
        <v>215761350.79197726</v>
      </c>
      <c r="W46" s="967">
        <f>'Build.vs.No-Build'!X38</f>
        <v>216350893.62774748</v>
      </c>
      <c r="X46" s="967">
        <f>'Build.vs.No-Build'!Y38</f>
        <v>216942047.32085577</v>
      </c>
      <c r="Y46" s="968">
        <f>'Build.vs.No-Build'!Z38</f>
        <v>217534816.27278283</v>
      </c>
      <c r="Z46" s="967"/>
      <c r="AA46" s="1337"/>
    </row>
    <row r="47" spans="2:27" ht="26.4" x14ac:dyDescent="0.3">
      <c r="B47" s="964" t="s">
        <v>764</v>
      </c>
      <c r="C47" s="965" t="s">
        <v>345</v>
      </c>
      <c r="D47" s="958"/>
      <c r="E47" s="966">
        <f t="shared" ref="E47:Y47" si="9">E46*SUMPRODUCT($H$11:$M$11,$H$10:$M$10)/1000000</f>
        <v>26174998.653762527</v>
      </c>
      <c r="F47" s="967">
        <f t="shared" si="9"/>
        <v>26246518.798014391</v>
      </c>
      <c r="G47" s="967">
        <f t="shared" si="9"/>
        <v>26318234.362755157</v>
      </c>
      <c r="H47" s="967">
        <f t="shared" si="9"/>
        <v>26390145.881948613</v>
      </c>
      <c r="I47" s="967">
        <f t="shared" si="9"/>
        <v>26462253.891017541</v>
      </c>
      <c r="J47" s="967">
        <f t="shared" si="9"/>
        <v>26534558.926847719</v>
      </c>
      <c r="K47" s="967">
        <f t="shared" si="9"/>
        <v>26607061.527791888</v>
      </c>
      <c r="L47" s="967">
        <f t="shared" si="9"/>
        <v>26679762.233673774</v>
      </c>
      <c r="M47" s="967">
        <f t="shared" si="9"/>
        <v>26752661.585792117</v>
      </c>
      <c r="N47" s="967">
        <f t="shared" si="9"/>
        <v>26825760.12692469</v>
      </c>
      <c r="O47" s="967">
        <f t="shared" si="9"/>
        <v>26899058.401332356</v>
      </c>
      <c r="P47" s="967">
        <f t="shared" si="9"/>
        <v>26972556.954763073</v>
      </c>
      <c r="Q47" s="967">
        <f t="shared" si="9"/>
        <v>27046256.334456041</v>
      </c>
      <c r="R47" s="967">
        <f t="shared" si="9"/>
        <v>27120157.089145672</v>
      </c>
      <c r="S47" s="967">
        <f t="shared" si="9"/>
        <v>27194259.769065786</v>
      </c>
      <c r="T47" s="967">
        <f t="shared" si="9"/>
        <v>27268564.925953601</v>
      </c>
      <c r="U47" s="967">
        <f t="shared" si="9"/>
        <v>27343073.113053933</v>
      </c>
      <c r="V47" s="967">
        <f t="shared" si="9"/>
        <v>27417784.885123264</v>
      </c>
      <c r="W47" s="967">
        <f t="shared" si="9"/>
        <v>27492700.798433881</v>
      </c>
      <c r="X47" s="967">
        <f t="shared" si="9"/>
        <v>27567821.410778008</v>
      </c>
      <c r="Y47" s="968">
        <f t="shared" si="9"/>
        <v>27643147.281471997</v>
      </c>
      <c r="Z47" s="967"/>
    </row>
    <row r="48" spans="2:27" ht="12.75" x14ac:dyDescent="0.25">
      <c r="B48" s="969"/>
      <c r="C48" s="965"/>
      <c r="D48" s="958"/>
      <c r="E48" s="966"/>
      <c r="F48" s="967"/>
      <c r="G48" s="967"/>
      <c r="H48" s="967"/>
      <c r="I48" s="967"/>
      <c r="J48" s="967"/>
      <c r="K48" s="967"/>
      <c r="L48" s="967"/>
      <c r="M48" s="967"/>
      <c r="N48" s="967"/>
      <c r="O48" s="967"/>
      <c r="P48" s="967"/>
      <c r="Q48" s="967"/>
      <c r="R48" s="967"/>
      <c r="S48" s="967"/>
      <c r="T48" s="967"/>
      <c r="U48" s="967"/>
      <c r="V48" s="967"/>
      <c r="W48" s="967"/>
      <c r="X48" s="967"/>
      <c r="Y48" s="968"/>
      <c r="Z48" s="1029"/>
    </row>
    <row r="49" spans="2:26" ht="20.25" x14ac:dyDescent="0.25">
      <c r="B49" s="1338" t="s">
        <v>575</v>
      </c>
      <c r="C49" s="965"/>
      <c r="D49" s="958"/>
      <c r="E49" s="966"/>
      <c r="F49" s="967"/>
      <c r="G49" s="967"/>
      <c r="H49" s="967"/>
      <c r="I49" s="967"/>
      <c r="J49" s="967"/>
      <c r="K49" s="967"/>
      <c r="L49" s="967"/>
      <c r="M49" s="967"/>
      <c r="N49" s="967"/>
      <c r="O49" s="967"/>
      <c r="P49" s="967"/>
      <c r="Q49" s="967"/>
      <c r="R49" s="967"/>
      <c r="S49" s="967"/>
      <c r="T49" s="967"/>
      <c r="U49" s="967"/>
      <c r="V49" s="967"/>
      <c r="W49" s="967"/>
      <c r="X49" s="967"/>
      <c r="Y49" s="968"/>
      <c r="Z49" s="1029"/>
    </row>
    <row r="50" spans="2:26" ht="12.75" x14ac:dyDescent="0.25">
      <c r="B50" s="969" t="s">
        <v>607</v>
      </c>
      <c r="C50" s="965" t="s">
        <v>472</v>
      </c>
      <c r="D50" s="958"/>
      <c r="E50" s="966">
        <f>'Build.vs.No-Build'!F39</f>
        <v>124894315.15420036</v>
      </c>
      <c r="F50" s="967">
        <f>'Build.vs.No-Build'!G39</f>
        <v>126188184.48332641</v>
      </c>
      <c r="G50" s="967">
        <f>'Build.vs.No-Build'!H39</f>
        <v>127495457.9280744</v>
      </c>
      <c r="H50" s="967">
        <f>'Build.vs.No-Build'!I39</f>
        <v>128816274.35124263</v>
      </c>
      <c r="I50" s="967">
        <f>'Build.vs.No-Build'!J39</f>
        <v>130150774.05420808</v>
      </c>
      <c r="J50" s="967">
        <f>'Build.vs.No-Build'!K39</f>
        <v>131499098.79182999</v>
      </c>
      <c r="K50" s="967">
        <f>'Build.vs.No-Build'!L39</f>
        <v>132861391.78750716</v>
      </c>
      <c r="L50" s="967">
        <f>'Build.vs.No-Build'!M39</f>
        <v>134237797.74839184</v>
      </c>
      <c r="M50" s="967">
        <f>'Build.vs.No-Build'!N39</f>
        <v>135628462.88076097</v>
      </c>
      <c r="N50" s="967">
        <f>'Build.vs.No-Build'!O39</f>
        <v>137033534.90554661</v>
      </c>
      <c r="O50" s="967">
        <f>'Build.vs.No-Build'!P39</f>
        <v>138453163.0740273</v>
      </c>
      <c r="P50" s="967">
        <f>'Build.vs.No-Build'!Q39</f>
        <v>139887498.18368214</v>
      </c>
      <c r="Q50" s="967">
        <f>'Build.vs.No-Build'!R39</f>
        <v>141336692.59420896</v>
      </c>
      <c r="R50" s="967">
        <f>'Build.vs.No-Build'!S39</f>
        <v>142800900.24370831</v>
      </c>
      <c r="S50" s="967">
        <f>'Build.vs.No-Build'!T39</f>
        <v>144280276.66503546</v>
      </c>
      <c r="T50" s="967">
        <f>'Build.vs.No-Build'!U39</f>
        <v>145774979.00232136</v>
      </c>
      <c r="U50" s="967">
        <f>'Build.vs.No-Build'!V39</f>
        <v>147285166.02766532</v>
      </c>
      <c r="V50" s="967">
        <f>'Build.vs.No-Build'!W39</f>
        <v>148810998.15800005</v>
      </c>
      <c r="W50" s="967">
        <f>'Build.vs.No-Build'!X39</f>
        <v>150352637.47213176</v>
      </c>
      <c r="X50" s="967">
        <f>'Build.vs.No-Build'!Y39</f>
        <v>151910247.72795659</v>
      </c>
      <c r="Y50" s="968">
        <f>'Build.vs.No-Build'!Z39</f>
        <v>153483994.37985557</v>
      </c>
      <c r="Z50" s="967"/>
    </row>
    <row r="51" spans="2:26" ht="26.4" x14ac:dyDescent="0.3">
      <c r="B51" s="964" t="s">
        <v>764</v>
      </c>
      <c r="C51" s="965" t="s">
        <v>473</v>
      </c>
      <c r="D51" s="958"/>
      <c r="E51" s="966">
        <f t="shared" ref="E51:Y51" si="10">E50*SUMPRODUCT($H$11:$M$11,$H$10:$M$10)/1000000</f>
        <v>15870893.71522411</v>
      </c>
      <c r="F51" s="967">
        <f t="shared" si="10"/>
        <v>16035311.627909681</v>
      </c>
      <c r="G51" s="967">
        <f t="shared" si="10"/>
        <v>16201432.863073304</v>
      </c>
      <c r="H51" s="967">
        <f t="shared" si="10"/>
        <v>16369275.066647936</v>
      </c>
      <c r="I51" s="967">
        <f t="shared" si="10"/>
        <v>16538856.067373335</v>
      </c>
      <c r="J51" s="967">
        <f t="shared" si="10"/>
        <v>16710193.878689922</v>
      </c>
      <c r="K51" s="967">
        <f t="shared" si="10"/>
        <v>16883306.700652175</v>
      </c>
      <c r="L51" s="967">
        <f t="shared" si="10"/>
        <v>17058212.921861932</v>
      </c>
      <c r="M51" s="967">
        <f t="shared" si="10"/>
        <v>17234931.121421684</v>
      </c>
      <c r="N51" s="967">
        <f t="shared" si="10"/>
        <v>17413480.070908099</v>
      </c>
      <c r="O51" s="967">
        <f t="shared" si="10"/>
        <v>17593878.736365993</v>
      </c>
      <c r="P51" s="967">
        <f t="shared" si="10"/>
        <v>17776146.28032298</v>
      </c>
      <c r="Q51" s="967">
        <f t="shared" si="10"/>
        <v>17960302.063824985</v>
      </c>
      <c r="R51" s="967">
        <f t="shared" si="10"/>
        <v>18146365.648492802</v>
      </c>
      <c r="S51" s="967">
        <f t="shared" si="10"/>
        <v>18334356.798600018</v>
      </c>
      <c r="T51" s="967">
        <f t="shared" si="10"/>
        <v>18524295.483172439</v>
      </c>
      <c r="U51" s="967">
        <f t="shared" si="10"/>
        <v>18716201.878109246</v>
      </c>
      <c r="V51" s="967">
        <f t="shared" si="10"/>
        <v>18910096.36832618</v>
      </c>
      <c r="W51" s="967">
        <f t="shared" si="10"/>
        <v>19105999.549920853</v>
      </c>
      <c r="X51" s="967">
        <f t="shared" si="10"/>
        <v>19303932.232360538</v>
      </c>
      <c r="Y51" s="968">
        <f t="shared" si="10"/>
        <v>19503915.440692648</v>
      </c>
      <c r="Z51" s="967"/>
    </row>
    <row r="52" spans="2:26" x14ac:dyDescent="0.3">
      <c r="B52" s="969"/>
      <c r="C52" s="965"/>
      <c r="D52" s="958"/>
      <c r="E52" s="966"/>
      <c r="F52" s="967"/>
      <c r="G52" s="967"/>
      <c r="H52" s="967"/>
      <c r="I52" s="967"/>
      <c r="J52" s="967"/>
      <c r="K52" s="967"/>
      <c r="L52" s="967"/>
      <c r="M52" s="967"/>
      <c r="N52" s="967"/>
      <c r="O52" s="967"/>
      <c r="P52" s="967"/>
      <c r="Q52" s="967"/>
      <c r="R52" s="967"/>
      <c r="S52" s="967"/>
      <c r="T52" s="967"/>
      <c r="U52" s="967"/>
      <c r="V52" s="967"/>
      <c r="W52" s="967"/>
      <c r="X52" s="967"/>
      <c r="Y52" s="968"/>
      <c r="Z52" s="1029"/>
    </row>
    <row r="53" spans="2:26" ht="21" x14ac:dyDescent="0.3">
      <c r="B53" s="1027" t="s">
        <v>469</v>
      </c>
      <c r="C53" s="965"/>
      <c r="D53" s="958"/>
      <c r="E53" s="1049"/>
      <c r="F53" s="1029"/>
      <c r="G53" s="1029"/>
      <c r="H53" s="1029"/>
      <c r="I53" s="1029"/>
      <c r="J53" s="1029"/>
      <c r="K53" s="1029"/>
      <c r="L53" s="1029"/>
      <c r="M53" s="1029"/>
      <c r="N53" s="1029"/>
      <c r="O53" s="1029"/>
      <c r="P53" s="1029"/>
      <c r="Q53" s="1029"/>
      <c r="R53" s="1029"/>
      <c r="S53" s="1029"/>
      <c r="T53" s="1029"/>
      <c r="U53" s="1029"/>
      <c r="V53" s="1029"/>
      <c r="W53" s="1029"/>
      <c r="X53" s="1029"/>
      <c r="Y53" s="1339"/>
      <c r="Z53" s="967"/>
    </row>
    <row r="54" spans="2:26" x14ac:dyDescent="0.3">
      <c r="B54" s="969" t="s">
        <v>607</v>
      </c>
      <c r="C54" s="965" t="s">
        <v>474</v>
      </c>
      <c r="D54" s="958"/>
      <c r="E54" s="1030">
        <f>E42+E46+E50</f>
        <v>710324505.46480131</v>
      </c>
      <c r="F54" s="1031">
        <f t="shared" ref="F54:Y54" si="11">F42+F46+F50</f>
        <v>716149442.17004573</v>
      </c>
      <c r="G54" s="1031">
        <f t="shared" si="11"/>
        <v>722030820.46261263</v>
      </c>
      <c r="H54" s="1031">
        <f t="shared" si="11"/>
        <v>727969217.4072938</v>
      </c>
      <c r="I54" s="1031">
        <f t="shared" si="11"/>
        <v>733965216.05767953</v>
      </c>
      <c r="J54" s="1031">
        <f t="shared" si="11"/>
        <v>740019405.51856184</v>
      </c>
      <c r="K54" s="1031">
        <f t="shared" si="11"/>
        <v>746132381.00898302</v>
      </c>
      <c r="L54" s="1031">
        <f t="shared" si="11"/>
        <v>752304743.92594695</v>
      </c>
      <c r="M54" s="1031">
        <f t="shared" si="11"/>
        <v>758537101.90879059</v>
      </c>
      <c r="N54" s="1031">
        <f t="shared" si="11"/>
        <v>764830068.90423083</v>
      </c>
      <c r="O54" s="1031">
        <f t="shared" si="11"/>
        <v>771184265.23208606</v>
      </c>
      <c r="P54" s="1031">
        <f t="shared" si="11"/>
        <v>777600317.65168691</v>
      </c>
      <c r="Q54" s="1031">
        <f t="shared" si="11"/>
        <v>784078859.42897642</v>
      </c>
      <c r="R54" s="1031">
        <f t="shared" si="11"/>
        <v>790620530.40431261</v>
      </c>
      <c r="S54" s="1031">
        <f t="shared" si="11"/>
        <v>797225977.06097651</v>
      </c>
      <c r="T54" s="1031">
        <f t="shared" si="11"/>
        <v>803895852.59439647</v>
      </c>
      <c r="U54" s="1031">
        <f t="shared" si="11"/>
        <v>810630816.98209286</v>
      </c>
      <c r="V54" s="1031">
        <f t="shared" si="11"/>
        <v>817431537.05435395</v>
      </c>
      <c r="W54" s="1031">
        <f t="shared" si="11"/>
        <v>824298686.56564689</v>
      </c>
      <c r="X54" s="1031">
        <f t="shared" si="11"/>
        <v>831232946.26677632</v>
      </c>
      <c r="Y54" s="1032">
        <f t="shared" si="11"/>
        <v>838235003.97779346</v>
      </c>
      <c r="Z54" s="967"/>
    </row>
    <row r="55" spans="2:26" x14ac:dyDescent="0.3">
      <c r="B55" s="969" t="s">
        <v>476</v>
      </c>
      <c r="C55" s="965" t="s">
        <v>475</v>
      </c>
      <c r="D55" s="958"/>
      <c r="E55" s="1030">
        <f>E43+E47+E51</f>
        <v>90264194.296051174</v>
      </c>
      <c r="F55" s="1031">
        <f t="shared" ref="F55:Y55" si="12">F43+F47+F51</f>
        <v>91004395.73142235</v>
      </c>
      <c r="G55" s="1031">
        <f t="shared" si="12"/>
        <v>91751769.45828183</v>
      </c>
      <c r="H55" s="1031">
        <f t="shared" si="12"/>
        <v>92506388.806900561</v>
      </c>
      <c r="I55" s="1031">
        <f t="shared" si="12"/>
        <v>93268327.868573695</v>
      </c>
      <c r="J55" s="1031">
        <f t="shared" si="12"/>
        <v>94037661.503550291</v>
      </c>
      <c r="K55" s="1031">
        <f t="shared" si="12"/>
        <v>94814465.349045277</v>
      </c>
      <c r="L55" s="1031">
        <f t="shared" si="12"/>
        <v>95598815.827335462</v>
      </c>
      <c r="M55" s="1031">
        <f t="shared" si="12"/>
        <v>96390790.153939664</v>
      </c>
      <c r="N55" s="1031">
        <f t="shared" si="12"/>
        <v>97190466.345884293</v>
      </c>
      <c r="O55" s="1031">
        <f t="shared" si="12"/>
        <v>97997923.230055124</v>
      </c>
      <c r="P55" s="1031">
        <f t="shared" si="12"/>
        <v>98813240.45163618</v>
      </c>
      <c r="Q55" s="1031">
        <f t="shared" si="12"/>
        <v>99636498.48263666</v>
      </c>
      <c r="R55" s="1031">
        <f t="shared" si="12"/>
        <v>100467778.63050683</v>
      </c>
      <c r="S55" s="1031">
        <f t="shared" si="12"/>
        <v>101307163.04684366</v>
      </c>
      <c r="T55" s="1031">
        <f t="shared" si="12"/>
        <v>102154734.73618746</v>
      </c>
      <c r="U55" s="1031">
        <f t="shared" si="12"/>
        <v>103010577.56491011</v>
      </c>
      <c r="V55" s="1031">
        <f t="shared" si="12"/>
        <v>103874776.27019614</v>
      </c>
      <c r="W55" s="1031">
        <f t="shared" si="12"/>
        <v>104747416.4691173</v>
      </c>
      <c r="X55" s="1031">
        <f t="shared" si="12"/>
        <v>105628584.66780201</v>
      </c>
      <c r="Y55" s="1032">
        <f t="shared" si="12"/>
        <v>106518368.27070028</v>
      </c>
      <c r="Z55" s="1029"/>
    </row>
    <row r="56" spans="2:26" x14ac:dyDescent="0.3">
      <c r="B56" s="969"/>
      <c r="C56" s="965"/>
      <c r="D56" s="958"/>
      <c r="E56" s="966"/>
      <c r="F56" s="967"/>
      <c r="G56" s="967"/>
      <c r="H56" s="967"/>
      <c r="I56" s="967"/>
      <c r="J56" s="967"/>
      <c r="K56" s="967"/>
      <c r="L56" s="967"/>
      <c r="M56" s="967"/>
      <c r="N56" s="967"/>
      <c r="O56" s="967"/>
      <c r="P56" s="967"/>
      <c r="Q56" s="967"/>
      <c r="R56" s="967"/>
      <c r="S56" s="967"/>
      <c r="T56" s="967"/>
      <c r="U56" s="967"/>
      <c r="V56" s="967"/>
      <c r="W56" s="967"/>
      <c r="X56" s="967"/>
      <c r="Y56" s="968"/>
      <c r="Z56" s="1029"/>
    </row>
    <row r="57" spans="2:26" ht="21" x14ac:dyDescent="0.4">
      <c r="B57" s="1340" t="s">
        <v>347</v>
      </c>
      <c r="C57" s="965"/>
      <c r="D57" s="958"/>
      <c r="E57" s="966"/>
      <c r="F57" s="967"/>
      <c r="G57" s="967"/>
      <c r="H57" s="967"/>
      <c r="I57" s="967"/>
      <c r="J57" s="967"/>
      <c r="K57" s="967"/>
      <c r="L57" s="967"/>
      <c r="M57" s="967"/>
      <c r="N57" s="967"/>
      <c r="O57" s="967"/>
      <c r="P57" s="967"/>
      <c r="Q57" s="967"/>
      <c r="R57" s="967"/>
      <c r="S57" s="967"/>
      <c r="T57" s="967"/>
      <c r="U57" s="967"/>
      <c r="V57" s="967"/>
      <c r="W57" s="967"/>
      <c r="X57" s="967"/>
      <c r="Y57" s="968"/>
      <c r="Z57" s="1029"/>
    </row>
    <row r="58" spans="2:26" x14ac:dyDescent="0.3">
      <c r="B58" s="969" t="s">
        <v>607</v>
      </c>
      <c r="C58" s="965" t="s">
        <v>477</v>
      </c>
      <c r="D58" s="958"/>
      <c r="E58" s="966">
        <f>'Build.vs.No-Build'!F40</f>
        <v>43316911.764705881</v>
      </c>
      <c r="F58" s="967">
        <f>'Build.vs.No-Build'!G40</f>
        <v>44290358.775713623</v>
      </c>
      <c r="G58" s="967">
        <f>'Build.vs.No-Build'!H40</f>
        <v>45285681.747971497</v>
      </c>
      <c r="H58" s="967">
        <f>'Build.vs.No-Build'!I40</f>
        <v>46303372.292913094</v>
      </c>
      <c r="I58" s="967">
        <f>'Build.vs.No-Build'!J40</f>
        <v>47343933.069797494</v>
      </c>
      <c r="J58" s="967">
        <f>'Build.vs.No-Build'!K40</f>
        <v>48407878.033983424</v>
      </c>
      <c r="K58" s="967">
        <f>'Build.vs.No-Build'!L40</f>
        <v>49495732.690782927</v>
      </c>
      <c r="L58" s="967">
        <f>'Build.vs.No-Build'!M40</f>
        <v>50608034.355019726</v>
      </c>
      <c r="M58" s="967">
        <f>'Build.vs.No-Build'!N40</f>
        <v>51745332.416420579</v>
      </c>
      <c r="N58" s="967">
        <f>'Build.vs.No-Build'!O40</f>
        <v>52908188.610970639</v>
      </c>
      <c r="O58" s="967">
        <f>'Build.vs.No-Build'!P40</f>
        <v>54097177.298367038</v>
      </c>
      <c r="P58" s="967">
        <f>'Build.vs.No-Build'!Q40</f>
        <v>55312885.74570743</v>
      </c>
      <c r="Q58" s="967">
        <f>'Build.vs.No-Build'!R40</f>
        <v>56555914.417553887</v>
      </c>
      <c r="R58" s="967">
        <f>'Build.vs.No-Build'!S40</f>
        <v>57826877.272515193</v>
      </c>
      <c r="S58" s="967">
        <f>'Build.vs.No-Build'!T40</f>
        <v>59126402.066494316</v>
      </c>
      <c r="T58" s="967">
        <f>'Build.vs.No-Build'!U40</f>
        <v>60455130.662750512</v>
      </c>
      <c r="U58" s="967">
        <f>'Build.vs.No-Build'!V40</f>
        <v>61813719.348929383</v>
      </c>
      <c r="V58" s="967">
        <f>'Build.vs.No-Build'!W40</f>
        <v>63202839.161217436</v>
      </c>
      <c r="W58" s="967">
        <f>'Build.vs.No-Build'!X40</f>
        <v>64623176.21578142</v>
      </c>
      <c r="X58" s="967">
        <f>'Build.vs.No-Build'!Y40</f>
        <v>66075432.047655731</v>
      </c>
      <c r="Y58" s="968">
        <f>'Build.vs.No-Build'!Z40</f>
        <v>67560323.957245752</v>
      </c>
      <c r="Z58" s="967"/>
    </row>
    <row r="59" spans="2:26" ht="26.4" x14ac:dyDescent="0.3">
      <c r="B59" s="964" t="s">
        <v>764</v>
      </c>
      <c r="C59" s="965" t="s">
        <v>478</v>
      </c>
      <c r="D59" s="958"/>
      <c r="E59" s="966">
        <f t="shared" ref="E59:Y59" si="13">E58*SUMPRODUCT($H$11:$M$11,$H$10:$M$10)/1000000</f>
        <v>5504478.7414110499</v>
      </c>
      <c r="F59" s="967">
        <f t="shared" si="13"/>
        <v>5628179.1198472651</v>
      </c>
      <c r="G59" s="967">
        <f t="shared" si="13"/>
        <v>5754659.3770593116</v>
      </c>
      <c r="H59" s="967">
        <f t="shared" si="13"/>
        <v>5883981.9843678586</v>
      </c>
      <c r="I59" s="967">
        <f t="shared" si="13"/>
        <v>6016210.816991454</v>
      </c>
      <c r="J59" s="967">
        <f t="shared" si="13"/>
        <v>6151411.1855958616</v>
      </c>
      <c r="K59" s="967">
        <f t="shared" si="13"/>
        <v>6289649.8685524072</v>
      </c>
      <c r="L59" s="967">
        <f t="shared" si="13"/>
        <v>6430995.1449212609</v>
      </c>
      <c r="M59" s="967">
        <f t="shared" si="13"/>
        <v>6575516.8281759238</v>
      </c>
      <c r="N59" s="967">
        <f t="shared" si="13"/>
        <v>6723286.3006856032</v>
      </c>
      <c r="O59" s="967">
        <f t="shared" si="13"/>
        <v>6874376.5489725163</v>
      </c>
      <c r="P59" s="967">
        <f t="shared" si="13"/>
        <v>7028862.1997614885</v>
      </c>
      <c r="Q59" s="967">
        <f t="shared" si="13"/>
        <v>7186819.5568397045</v>
      </c>
      <c r="R59" s="967">
        <f t="shared" si="13"/>
        <v>7348326.6387447873</v>
      </c>
      <c r="S59" s="967">
        <f t="shared" si="13"/>
        <v>7513463.2172998395</v>
      </c>
      <c r="T59" s="967">
        <f t="shared" si="13"/>
        <v>7682310.8570144633</v>
      </c>
      <c r="U59" s="967">
        <f t="shared" si="13"/>
        <v>7854952.9553712169</v>
      </c>
      <c r="V59" s="967">
        <f t="shared" si="13"/>
        <v>8031474.7840174288</v>
      </c>
      <c r="W59" s="967">
        <f t="shared" si="13"/>
        <v>8211963.5308827125</v>
      </c>
      <c r="X59" s="967">
        <f t="shared" si="13"/>
        <v>8396508.3432429451</v>
      </c>
      <c r="Y59" s="968">
        <f t="shared" si="13"/>
        <v>8585200.371752033</v>
      </c>
      <c r="Z59" s="1029"/>
    </row>
    <row r="60" spans="2:26" ht="13.8" thickBot="1" x14ac:dyDescent="0.35">
      <c r="B60" s="974"/>
      <c r="C60" s="975"/>
      <c r="D60" s="1341"/>
      <c r="E60" s="977"/>
      <c r="F60" s="978"/>
      <c r="G60" s="978"/>
      <c r="H60" s="978"/>
      <c r="I60" s="978"/>
      <c r="J60" s="978"/>
      <c r="K60" s="978"/>
      <c r="L60" s="978"/>
      <c r="M60" s="978"/>
      <c r="N60" s="978"/>
      <c r="O60" s="978"/>
      <c r="P60" s="978"/>
      <c r="Q60" s="978"/>
      <c r="R60" s="978"/>
      <c r="S60" s="978"/>
      <c r="T60" s="978"/>
      <c r="U60" s="978"/>
      <c r="V60" s="978"/>
      <c r="W60" s="978"/>
      <c r="X60" s="978"/>
      <c r="Y60" s="979"/>
      <c r="Z60" s="1029"/>
    </row>
    <row r="61" spans="2:26" x14ac:dyDescent="0.3">
      <c r="B61" s="958"/>
      <c r="C61" s="965"/>
      <c r="D61" s="958"/>
      <c r="E61" s="958"/>
      <c r="F61" s="967"/>
      <c r="G61" s="967"/>
      <c r="H61" s="967"/>
      <c r="I61" s="967"/>
      <c r="J61" s="967"/>
      <c r="K61" s="967"/>
      <c r="L61" s="967"/>
      <c r="M61" s="967"/>
      <c r="N61" s="967"/>
      <c r="O61" s="967"/>
      <c r="P61" s="967"/>
      <c r="Q61" s="967"/>
      <c r="R61" s="967"/>
      <c r="S61" s="967"/>
      <c r="T61" s="967"/>
      <c r="U61" s="967"/>
      <c r="V61" s="967"/>
      <c r="W61" s="967"/>
      <c r="X61" s="967"/>
      <c r="Y61" s="967"/>
      <c r="Z61" s="1029"/>
    </row>
    <row r="62" spans="2:26" ht="18" thickBot="1" x14ac:dyDescent="0.35">
      <c r="B62" s="958"/>
      <c r="C62" s="965"/>
      <c r="D62" s="958"/>
      <c r="E62" s="1861" t="s">
        <v>905</v>
      </c>
      <c r="F62" s="1861"/>
      <c r="G62" s="1861"/>
      <c r="H62" s="1861"/>
      <c r="I62" s="1861"/>
      <c r="J62" s="1861"/>
      <c r="K62" s="1861"/>
      <c r="L62" s="1861"/>
      <c r="M62" s="1861"/>
      <c r="N62" s="1861"/>
      <c r="O62" s="1861"/>
      <c r="P62" s="1861"/>
      <c r="Q62" s="1861"/>
      <c r="R62" s="1861"/>
      <c r="S62" s="1861"/>
      <c r="T62" s="1861"/>
      <c r="U62" s="1861"/>
      <c r="V62" s="1861"/>
      <c r="W62" s="1861"/>
      <c r="X62" s="1861"/>
      <c r="Y62" s="1861"/>
      <c r="Z62" s="1029"/>
    </row>
    <row r="63" spans="2:26" ht="27.75" customHeight="1" thickBot="1" x14ac:dyDescent="0.35">
      <c r="B63" s="958"/>
      <c r="C63" s="965"/>
      <c r="D63" s="958"/>
      <c r="E63" s="712">
        <v>2023</v>
      </c>
      <c r="F63" s="417">
        <f>E63+1</f>
        <v>2024</v>
      </c>
      <c r="G63" s="417">
        <f t="shared" ref="G63:Y63" si="14">F63+1</f>
        <v>2025</v>
      </c>
      <c r="H63" s="417">
        <f t="shared" si="14"/>
        <v>2026</v>
      </c>
      <c r="I63" s="417">
        <f t="shared" si="14"/>
        <v>2027</v>
      </c>
      <c r="J63" s="417">
        <f t="shared" si="14"/>
        <v>2028</v>
      </c>
      <c r="K63" s="417">
        <f t="shared" si="14"/>
        <v>2029</v>
      </c>
      <c r="L63" s="417">
        <f t="shared" si="14"/>
        <v>2030</v>
      </c>
      <c r="M63" s="417">
        <f t="shared" si="14"/>
        <v>2031</v>
      </c>
      <c r="N63" s="417">
        <f t="shared" si="14"/>
        <v>2032</v>
      </c>
      <c r="O63" s="417">
        <f t="shared" si="14"/>
        <v>2033</v>
      </c>
      <c r="P63" s="417">
        <f t="shared" si="14"/>
        <v>2034</v>
      </c>
      <c r="Q63" s="417">
        <f t="shared" si="14"/>
        <v>2035</v>
      </c>
      <c r="R63" s="417">
        <f t="shared" si="14"/>
        <v>2036</v>
      </c>
      <c r="S63" s="417">
        <f t="shared" si="14"/>
        <v>2037</v>
      </c>
      <c r="T63" s="417">
        <f t="shared" si="14"/>
        <v>2038</v>
      </c>
      <c r="U63" s="417">
        <f t="shared" si="14"/>
        <v>2039</v>
      </c>
      <c r="V63" s="417">
        <f t="shared" si="14"/>
        <v>2040</v>
      </c>
      <c r="W63" s="417">
        <f t="shared" si="14"/>
        <v>2041</v>
      </c>
      <c r="X63" s="417">
        <f t="shared" si="14"/>
        <v>2042</v>
      </c>
      <c r="Y63" s="713">
        <f t="shared" si="14"/>
        <v>2043</v>
      </c>
      <c r="Z63" s="1029"/>
    </row>
    <row r="64" spans="2:26" ht="21" x14ac:dyDescent="0.3">
      <c r="B64" s="1158" t="s">
        <v>287</v>
      </c>
      <c r="C64" s="965"/>
      <c r="D64" s="958"/>
      <c r="E64" s="967">
        <f>E43-E19</f>
        <v>-7558300.2391947582</v>
      </c>
      <c r="F64" s="967">
        <f t="shared" ref="F64:Y64" si="15">F43-F19</f>
        <v>-7522772.6710009426</v>
      </c>
      <c r="G64" s="967">
        <f t="shared" si="15"/>
        <v>-7485910.7196574062</v>
      </c>
      <c r="H64" s="967">
        <f t="shared" si="15"/>
        <v>-7447692.3387762606</v>
      </c>
      <c r="I64" s="967">
        <f t="shared" si="15"/>
        <v>-7408095.1834106371</v>
      </c>
      <c r="J64" s="967">
        <f t="shared" si="15"/>
        <v>-7367096.6063609123</v>
      </c>
      <c r="K64" s="967">
        <f t="shared" si="15"/>
        <v>-7324673.6544376686</v>
      </c>
      <c r="L64" s="967">
        <f t="shared" si="15"/>
        <v>-7280803.0646803603</v>
      </c>
      <c r="M64" s="967">
        <f t="shared" si="15"/>
        <v>-7235461.2605319172</v>
      </c>
      <c r="N64" s="967">
        <f t="shared" si="15"/>
        <v>-7188624.3479681909</v>
      </c>
      <c r="O64" s="967">
        <f t="shared" si="15"/>
        <v>-7140268.111582078</v>
      </c>
      <c r="P64" s="967">
        <f t="shared" si="15"/>
        <v>-7090368.0106216595</v>
      </c>
      <c r="Q64" s="967">
        <f t="shared" si="15"/>
        <v>-7038899.1749817804</v>
      </c>
      <c r="R64" s="967">
        <f t="shared" si="15"/>
        <v>-6985836.4011486843</v>
      </c>
      <c r="S64" s="967">
        <f t="shared" si="15"/>
        <v>-6931154.14809715</v>
      </c>
      <c r="T64" s="967">
        <f t="shared" si="15"/>
        <v>-6874826.5331394151</v>
      </c>
      <c r="U64" s="967">
        <f t="shared" si="15"/>
        <v>-6816827.3277255446</v>
      </c>
      <c r="V64" s="967">
        <f t="shared" si="15"/>
        <v>-6757129.9531947151</v>
      </c>
      <c r="W64" s="967">
        <f t="shared" si="15"/>
        <v>-6695707.4764764905</v>
      </c>
      <c r="X64" s="967">
        <f t="shared" si="15"/>
        <v>-6632532.6057420447</v>
      </c>
      <c r="Y64" s="967">
        <f t="shared" si="15"/>
        <v>-6567577.6860044003</v>
      </c>
      <c r="Z64" s="1029"/>
    </row>
    <row r="65" spans="2:39" ht="21" x14ac:dyDescent="0.3">
      <c r="B65" s="1164" t="s">
        <v>288</v>
      </c>
      <c r="C65" s="965"/>
      <c r="D65" s="958"/>
      <c r="E65" s="967">
        <f>E47-E23</f>
        <v>-4042862.6200915389</v>
      </c>
      <c r="F65" s="967">
        <f t="shared" ref="F65:Y65" si="16">F47-F23</f>
        <v>-3995054.2021454573</v>
      </c>
      <c r="G65" s="967">
        <f t="shared" si="16"/>
        <v>-3947068.9701220691</v>
      </c>
      <c r="H65" s="967">
        <f t="shared" si="16"/>
        <v>-3898906.4046579003</v>
      </c>
      <c r="I65" s="967">
        <f t="shared" si="16"/>
        <v>-3850565.9849419221</v>
      </c>
      <c r="J65" s="967">
        <f t="shared" si="16"/>
        <v>-3802047.1887116097</v>
      </c>
      <c r="K65" s="967">
        <f t="shared" si="16"/>
        <v>-3753349.4922489189</v>
      </c>
      <c r="L65" s="967">
        <f t="shared" si="16"/>
        <v>-3704472.3703763001</v>
      </c>
      <c r="M65" s="967">
        <f t="shared" si="16"/>
        <v>-3655415.2964527197</v>
      </c>
      <c r="N65" s="967">
        <f t="shared" si="16"/>
        <v>-3606177.742369581</v>
      </c>
      <c r="O65" s="967">
        <f t="shared" si="16"/>
        <v>-3556759.178546723</v>
      </c>
      <c r="P65" s="967">
        <f t="shared" si="16"/>
        <v>-3507159.0739283785</v>
      </c>
      <c r="Q65" s="967">
        <f t="shared" si="16"/>
        <v>-3457376.8959791251</v>
      </c>
      <c r="R65" s="967">
        <f t="shared" si="16"/>
        <v>-3407412.1106798276</v>
      </c>
      <c r="S65" s="967">
        <f t="shared" si="16"/>
        <v>-3357264.1825234778</v>
      </c>
      <c r="T65" s="967">
        <f t="shared" si="16"/>
        <v>-3306932.5745112523</v>
      </c>
      <c r="U65" s="967">
        <f t="shared" si="16"/>
        <v>-3256416.7481482923</v>
      </c>
      <c r="V65" s="967">
        <f t="shared" si="16"/>
        <v>-3205716.1634396389</v>
      </c>
      <c r="W65" s="967">
        <f t="shared" si="16"/>
        <v>-3154830.2788861059</v>
      </c>
      <c r="X65" s="967">
        <f t="shared" si="16"/>
        <v>-3103758.5514801815</v>
      </c>
      <c r="Y65" s="967">
        <f t="shared" si="16"/>
        <v>-3052500.4367018044</v>
      </c>
      <c r="Z65" s="1029"/>
    </row>
    <row r="66" spans="2:39" ht="21" x14ac:dyDescent="0.3">
      <c r="B66" s="1158" t="s">
        <v>289</v>
      </c>
      <c r="C66" s="965"/>
      <c r="D66" s="958"/>
      <c r="E66" s="967">
        <f>E51-E27</f>
        <v>-2486321.4991941415</v>
      </c>
      <c r="F66" s="967">
        <f t="shared" ref="F66:Y66" si="17">F51-F27</f>
        <v>-2474333.4904834013</v>
      </c>
      <c r="G66" s="967">
        <f t="shared" si="17"/>
        <v>-2461907.8673747517</v>
      </c>
      <c r="H66" s="967">
        <f t="shared" si="17"/>
        <v>-2449037.4937951937</v>
      </c>
      <c r="I66" s="967">
        <f t="shared" si="17"/>
        <v>-2435715.1381339878</v>
      </c>
      <c r="J66" s="967">
        <f t="shared" si="17"/>
        <v>-2421933.4720734283</v>
      </c>
      <c r="K66" s="967">
        <f t="shared" si="17"/>
        <v>-2407685.0694061331</v>
      </c>
      <c r="L66" s="967">
        <f t="shared" si="17"/>
        <v>-2392962.4048384391</v>
      </c>
      <c r="M66" s="967">
        <f t="shared" si="17"/>
        <v>-2377757.8527799658</v>
      </c>
      <c r="N66" s="967">
        <f t="shared" si="17"/>
        <v>-2362063.686119087</v>
      </c>
      <c r="O66" s="967">
        <f t="shared" si="17"/>
        <v>-2345872.0749842413</v>
      </c>
      <c r="P66" s="967">
        <f t="shared" si="17"/>
        <v>-2329175.085490711</v>
      </c>
      <c r="Q66" s="967">
        <f t="shared" si="17"/>
        <v>-2311964.678472992</v>
      </c>
      <c r="R66" s="967">
        <f t="shared" si="17"/>
        <v>-2294232.7082024217</v>
      </c>
      <c r="S66" s="967">
        <f t="shared" si="17"/>
        <v>-2275970.921089869</v>
      </c>
      <c r="T66" s="967">
        <f t="shared" si="17"/>
        <v>-2257170.9543734454</v>
      </c>
      <c r="U66" s="967">
        <f t="shared" si="17"/>
        <v>-2237824.3347909786</v>
      </c>
      <c r="V66" s="967">
        <f t="shared" si="17"/>
        <v>-2217922.477237083</v>
      </c>
      <c r="W66" s="967">
        <f t="shared" si="17"/>
        <v>-2197456.683404699</v>
      </c>
      <c r="X66" s="967">
        <f t="shared" si="17"/>
        <v>-2176418.1404109187</v>
      </c>
      <c r="Y66" s="967">
        <f t="shared" si="17"/>
        <v>-2154797.9194068462</v>
      </c>
    </row>
    <row r="67" spans="2:39" ht="21" x14ac:dyDescent="0.3">
      <c r="B67" s="1158" t="s">
        <v>385</v>
      </c>
      <c r="C67" s="958"/>
      <c r="D67" s="958"/>
      <c r="E67" s="967">
        <f>E55-E31</f>
        <v>-14087484.358480424</v>
      </c>
      <c r="F67" s="967">
        <f t="shared" ref="F67:Y67" si="18">F55-F31</f>
        <v>-13992160.363629803</v>
      </c>
      <c r="G67" s="967">
        <f t="shared" si="18"/>
        <v>-13894887.557154238</v>
      </c>
      <c r="H67" s="967">
        <f t="shared" si="18"/>
        <v>-13795636.237229362</v>
      </c>
      <c r="I67" s="967">
        <f t="shared" si="18"/>
        <v>-13694376.306486547</v>
      </c>
      <c r="J67" s="967">
        <f t="shared" si="18"/>
        <v>-13591077.267145947</v>
      </c>
      <c r="K67" s="967">
        <f t="shared" si="18"/>
        <v>-13485708.216092721</v>
      </c>
      <c r="L67" s="967">
        <f t="shared" si="18"/>
        <v>-13378237.839895099</v>
      </c>
      <c r="M67" s="967">
        <f t="shared" si="18"/>
        <v>-13268634.409764603</v>
      </c>
      <c r="N67" s="967">
        <f t="shared" si="18"/>
        <v>-13156865.776456863</v>
      </c>
      <c r="O67" s="967">
        <f t="shared" si="18"/>
        <v>-13042899.36511305</v>
      </c>
      <c r="P67" s="967">
        <f t="shared" si="18"/>
        <v>-12926702.170040742</v>
      </c>
      <c r="Q67" s="967">
        <f t="shared" si="18"/>
        <v>-12808240.749433905</v>
      </c>
      <c r="R67" s="967">
        <f t="shared" si="18"/>
        <v>-12687481.220030934</v>
      </c>
      <c r="S67" s="967">
        <f t="shared" si="18"/>
        <v>-12564389.251710504</v>
      </c>
      <c r="T67" s="967">
        <f t="shared" si="18"/>
        <v>-12438930.062024102</v>
      </c>
      <c r="U67" s="967">
        <f t="shared" si="18"/>
        <v>-12311068.410664797</v>
      </c>
      <c r="V67" s="967">
        <f t="shared" si="18"/>
        <v>-12180768.59387143</v>
      </c>
      <c r="W67" s="967">
        <f t="shared" si="18"/>
        <v>-12047994.438767299</v>
      </c>
      <c r="X67" s="967">
        <f t="shared" si="18"/>
        <v>-11912709.297633156</v>
      </c>
      <c r="Y67" s="967">
        <f t="shared" si="18"/>
        <v>-11774876.042113051</v>
      </c>
      <c r="Z67" s="967"/>
    </row>
    <row r="68" spans="2:39" ht="21" customHeight="1" x14ac:dyDescent="0.3">
      <c r="B68" s="1158" t="s">
        <v>140</v>
      </c>
      <c r="C68" s="1342"/>
      <c r="D68" s="1342"/>
      <c r="E68" s="967">
        <f>E59-E35</f>
        <v>-2569902.7407697178</v>
      </c>
      <c r="F68" s="967">
        <f t="shared" ref="F68:Y68" si="19">F59-F35</f>
        <v>-2499110.0104821334</v>
      </c>
      <c r="G68" s="967">
        <f t="shared" si="19"/>
        <v>-2425884.0805097139</v>
      </c>
      <c r="H68" s="967">
        <f t="shared" si="19"/>
        <v>-2350164.75115785</v>
      </c>
      <c r="I68" s="967">
        <f t="shared" si="19"/>
        <v>-2271890.433718957</v>
      </c>
      <c r="J68" s="967">
        <f t="shared" si="19"/>
        <v>-2190998.1190206613</v>
      </c>
      <c r="K68" s="967">
        <f t="shared" si="19"/>
        <v>-2107423.3452656548</v>
      </c>
      <c r="L68" s="967">
        <f t="shared" si="19"/>
        <v>-2021100.1651471974</v>
      </c>
      <c r="M68" s="967">
        <f t="shared" si="19"/>
        <v>-1931961.112224116</v>
      </c>
      <c r="N68" s="967">
        <f t="shared" si="19"/>
        <v>-1839937.1665385365</v>
      </c>
      <c r="O68" s="967">
        <f t="shared" si="19"/>
        <v>-1744957.7194593502</v>
      </c>
      <c r="P68" s="967">
        <f t="shared" si="19"/>
        <v>-1646950.5377340475</v>
      </c>
      <c r="Q68" s="967">
        <f t="shared" si="19"/>
        <v>-1545841.7267310694</v>
      </c>
      <c r="R68" s="967">
        <f t="shared" si="19"/>
        <v>-1441555.6928544911</v>
      </c>
      <c r="S68" s="967">
        <f t="shared" si="19"/>
        <v>-1334015.1051124111</v>
      </c>
      <c r="T68" s="967">
        <f t="shared" si="19"/>
        <v>-1223140.855820057</v>
      </c>
      <c r="U68" s="967">
        <f t="shared" si="19"/>
        <v>-1108852.0204181271</v>
      </c>
      <c r="V68" s="967">
        <f t="shared" si="19"/>
        <v>-991065.8163864594</v>
      </c>
      <c r="W68" s="967">
        <f t="shared" si="19"/>
        <v>-869697.56123269349</v>
      </c>
      <c r="X68" s="967">
        <f t="shared" si="19"/>
        <v>-744660.62953516282</v>
      </c>
      <c r="Y68" s="967">
        <f t="shared" si="19"/>
        <v>-615866.40901870467</v>
      </c>
      <c r="Z68" s="967"/>
    </row>
    <row r="69" spans="2:39" ht="21" customHeight="1" x14ac:dyDescent="0.3">
      <c r="B69" s="1158" t="s">
        <v>5</v>
      </c>
      <c r="C69" s="1342"/>
      <c r="D69" s="1342"/>
      <c r="E69" s="967">
        <f>SUM(E67:E68)</f>
        <v>-16657387.099250142</v>
      </c>
      <c r="F69" s="967">
        <f t="shared" ref="F69:Y69" si="20">SUM(F67:F68)</f>
        <v>-16491270.374111935</v>
      </c>
      <c r="G69" s="967">
        <f t="shared" si="20"/>
        <v>-16320771.637663953</v>
      </c>
      <c r="H69" s="967">
        <f t="shared" si="20"/>
        <v>-16145800.988387212</v>
      </c>
      <c r="I69" s="967">
        <f t="shared" si="20"/>
        <v>-15966266.740205504</v>
      </c>
      <c r="J69" s="967">
        <f t="shared" si="20"/>
        <v>-15782075.386166608</v>
      </c>
      <c r="K69" s="967">
        <f t="shared" si="20"/>
        <v>-15593131.561358375</v>
      </c>
      <c r="L69" s="967">
        <f t="shared" si="20"/>
        <v>-15399338.005042296</v>
      </c>
      <c r="M69" s="967">
        <f t="shared" si="20"/>
        <v>-15200595.52198872</v>
      </c>
      <c r="N69" s="967">
        <f t="shared" si="20"/>
        <v>-14996802.942995399</v>
      </c>
      <c r="O69" s="967">
        <f t="shared" si="20"/>
        <v>-14787857.084572401</v>
      </c>
      <c r="P69" s="967">
        <f t="shared" si="20"/>
        <v>-14573652.707774788</v>
      </c>
      <c r="Q69" s="967">
        <f t="shared" si="20"/>
        <v>-14354082.476164974</v>
      </c>
      <c r="R69" s="967">
        <f t="shared" si="20"/>
        <v>-14129036.912885424</v>
      </c>
      <c r="S69" s="967">
        <f t="shared" si="20"/>
        <v>-13898404.356822915</v>
      </c>
      <c r="T69" s="967">
        <f t="shared" si="20"/>
        <v>-13662070.917844158</v>
      </c>
      <c r="U69" s="967">
        <f t="shared" si="20"/>
        <v>-13419920.431082923</v>
      </c>
      <c r="V69" s="967">
        <f t="shared" si="20"/>
        <v>-13171834.410257889</v>
      </c>
      <c r="W69" s="967">
        <f t="shared" si="20"/>
        <v>-12917691.999999993</v>
      </c>
      <c r="X69" s="967">
        <f t="shared" si="20"/>
        <v>-12657369.927168319</v>
      </c>
      <c r="Y69" s="967">
        <f t="shared" si="20"/>
        <v>-12390742.451131755</v>
      </c>
    </row>
    <row r="70" spans="2:39" ht="21" customHeight="1" x14ac:dyDescent="0.3">
      <c r="B70" s="995" t="s">
        <v>315</v>
      </c>
      <c r="C70" s="1038"/>
      <c r="D70" s="1038"/>
      <c r="E70" s="1038"/>
      <c r="F70" s="1038"/>
      <c r="G70" s="1038"/>
      <c r="H70" s="1038"/>
      <c r="I70" s="1038"/>
      <c r="J70" s="1038"/>
      <c r="K70" s="1038"/>
      <c r="L70" s="1038"/>
      <c r="M70" s="1038"/>
      <c r="N70" s="1038"/>
      <c r="O70" s="1038"/>
      <c r="P70" s="1038"/>
      <c r="Q70" s="1038"/>
      <c r="R70" s="1038"/>
      <c r="S70" s="1038"/>
      <c r="T70" s="1038"/>
      <c r="U70" s="1038"/>
      <c r="V70" s="1038"/>
    </row>
    <row r="71" spans="2:39" x14ac:dyDescent="0.3">
      <c r="B71" s="958"/>
      <c r="C71" s="958"/>
      <c r="D71" s="958"/>
      <c r="E71" s="967">
        <f>SUM(E67:Y67)</f>
        <v>-273041127.93373859</v>
      </c>
      <c r="F71" s="958"/>
      <c r="G71" s="958"/>
      <c r="H71" s="958"/>
      <c r="I71" s="958"/>
      <c r="J71" s="958"/>
      <c r="K71" s="958"/>
      <c r="L71" s="958"/>
      <c r="M71" s="958"/>
      <c r="N71" s="958"/>
      <c r="O71" s="958"/>
      <c r="P71" s="958"/>
      <c r="Q71" s="958"/>
      <c r="R71" s="958"/>
      <c r="S71" s="958"/>
      <c r="T71" s="958"/>
      <c r="U71" s="958"/>
      <c r="V71" s="958"/>
    </row>
    <row r="72" spans="2:39" ht="17.399999999999999" x14ac:dyDescent="0.3">
      <c r="B72" s="958"/>
      <c r="C72" s="958"/>
      <c r="D72" s="958"/>
      <c r="E72" s="967">
        <f>SUM(E68:Y68)</f>
        <v>-35474975.999137104</v>
      </c>
      <c r="F72" s="958"/>
      <c r="G72" s="958"/>
      <c r="H72" s="958"/>
      <c r="I72" s="958"/>
      <c r="J72" s="958"/>
      <c r="K72" s="958"/>
      <c r="L72" s="958"/>
      <c r="N72" s="1416"/>
      <c r="O72" s="1416"/>
      <c r="P72" s="1416"/>
      <c r="Q72" s="1416"/>
      <c r="R72" s="958"/>
      <c r="S72" s="958"/>
      <c r="T72" s="958"/>
      <c r="U72" s="958"/>
      <c r="V72" s="958"/>
    </row>
    <row r="73" spans="2:39" x14ac:dyDescent="0.3">
      <c r="B73" s="958"/>
      <c r="C73" s="958"/>
      <c r="D73" s="958"/>
      <c r="E73" s="967"/>
      <c r="F73" s="958"/>
      <c r="G73" s="958"/>
      <c r="H73" s="958"/>
      <c r="I73" s="958"/>
      <c r="J73" s="958"/>
      <c r="K73" s="958"/>
      <c r="L73" s="958"/>
      <c r="M73" s="958"/>
      <c r="N73" s="958"/>
      <c r="O73" s="958"/>
      <c r="P73" s="958"/>
      <c r="Q73" s="958"/>
      <c r="R73" s="958"/>
      <c r="S73" s="958"/>
      <c r="T73" s="958"/>
      <c r="U73" s="958"/>
      <c r="V73" s="958"/>
      <c r="AD73" s="958"/>
      <c r="AE73" s="958"/>
      <c r="AF73" s="958"/>
      <c r="AG73" s="958"/>
      <c r="AH73" s="958"/>
      <c r="AI73" s="958"/>
      <c r="AJ73" s="958"/>
      <c r="AK73" s="958"/>
      <c r="AL73" s="958"/>
      <c r="AM73" s="958"/>
    </row>
    <row r="74" spans="2:39" ht="17.399999999999999" x14ac:dyDescent="0.3">
      <c r="B74" s="958"/>
      <c r="C74" s="958"/>
      <c r="D74" s="958"/>
      <c r="E74" s="1835" t="s">
        <v>763</v>
      </c>
      <c r="F74" s="1835"/>
      <c r="G74" s="1835"/>
      <c r="H74" s="1835"/>
      <c r="I74" s="1835"/>
      <c r="J74" s="958"/>
      <c r="K74" s="958"/>
      <c r="L74" s="958"/>
      <c r="M74" s="958"/>
      <c r="N74" s="958"/>
      <c r="O74" s="1835" t="s">
        <v>606</v>
      </c>
      <c r="P74" s="1835"/>
      <c r="Q74" s="1835"/>
      <c r="R74" s="1835"/>
      <c r="S74" s="958"/>
      <c r="T74" s="958"/>
      <c r="U74" s="958"/>
      <c r="V74" s="958"/>
      <c r="AD74" s="958"/>
      <c r="AE74" s="958"/>
      <c r="AF74" s="958"/>
      <c r="AG74" s="958"/>
      <c r="AH74" s="958"/>
      <c r="AI74" s="958"/>
      <c r="AJ74" s="958"/>
      <c r="AK74" s="958"/>
      <c r="AL74" s="958"/>
      <c r="AM74" s="958"/>
    </row>
    <row r="75" spans="2:39" ht="17.399999999999999" x14ac:dyDescent="0.3">
      <c r="E75" s="1416" t="s">
        <v>858</v>
      </c>
      <c r="F75" s="1416"/>
      <c r="G75" s="1416"/>
      <c r="H75" s="1416"/>
      <c r="I75" s="1416"/>
      <c r="J75" s="1416"/>
      <c r="K75" s="1416" t="s">
        <v>857</v>
      </c>
      <c r="L75" s="1416"/>
      <c r="O75" s="1416" t="s">
        <v>858</v>
      </c>
      <c r="S75" s="1416" t="s">
        <v>857</v>
      </c>
      <c r="W75" s="958"/>
      <c r="X75" s="958"/>
      <c r="Y75" s="958"/>
      <c r="AD75" s="958"/>
      <c r="AE75" s="958"/>
      <c r="AF75" s="958"/>
      <c r="AG75" s="958"/>
      <c r="AH75" s="958"/>
      <c r="AI75" s="958"/>
      <c r="AJ75" s="958"/>
      <c r="AK75" s="958"/>
      <c r="AL75" s="958"/>
      <c r="AM75" s="958"/>
    </row>
    <row r="76" spans="2:39" ht="18" thickBot="1" x14ac:dyDescent="0.35">
      <c r="E76" s="1416"/>
      <c r="F76" s="1416"/>
      <c r="G76" s="1416"/>
      <c r="H76" s="1416"/>
      <c r="I76" s="1416"/>
      <c r="J76" s="1416"/>
      <c r="K76" s="1416"/>
      <c r="L76" s="1416"/>
      <c r="W76" s="958"/>
      <c r="X76" s="958"/>
      <c r="Y76" s="958"/>
      <c r="AD76" s="958"/>
      <c r="AE76" s="958"/>
      <c r="AF76" s="958"/>
      <c r="AG76" s="958"/>
      <c r="AH76" s="958"/>
      <c r="AI76" s="958"/>
      <c r="AJ76" s="958"/>
      <c r="AK76" s="958"/>
      <c r="AL76" s="958"/>
      <c r="AM76" s="958"/>
    </row>
    <row r="77" spans="2:39" ht="14.4" thickBot="1" x14ac:dyDescent="0.35">
      <c r="C77" s="1039"/>
      <c r="E77" s="1484" t="s">
        <v>182</v>
      </c>
      <c r="F77" s="1485" t="s">
        <v>180</v>
      </c>
      <c r="G77" s="1485" t="s">
        <v>178</v>
      </c>
      <c r="H77" s="1485" t="s">
        <v>268</v>
      </c>
      <c r="I77" s="1487" t="s">
        <v>269</v>
      </c>
      <c r="J77" s="1343"/>
      <c r="K77" s="1484" t="s">
        <v>182</v>
      </c>
      <c r="L77" s="1485" t="s">
        <v>180</v>
      </c>
      <c r="M77" s="1487" t="s">
        <v>178</v>
      </c>
      <c r="P77" s="958"/>
      <c r="Q77" s="958"/>
      <c r="R77" s="958"/>
      <c r="W77" s="958"/>
      <c r="X77" s="958"/>
      <c r="Y77" s="958"/>
      <c r="AD77" s="985"/>
      <c r="AE77" s="985"/>
      <c r="AF77" s="985"/>
      <c r="AG77" s="985"/>
      <c r="AH77" s="985"/>
      <c r="AI77" s="985"/>
      <c r="AJ77" s="985"/>
      <c r="AK77" s="985"/>
      <c r="AL77" s="958"/>
      <c r="AM77" s="958"/>
    </row>
    <row r="78" spans="2:39" ht="30" customHeight="1" x14ac:dyDescent="0.3">
      <c r="C78" s="1039"/>
      <c r="E78" s="1501"/>
      <c r="F78" s="1409"/>
      <c r="G78" s="1824" t="s">
        <v>341</v>
      </c>
      <c r="H78" s="1825"/>
      <c r="I78" s="1826"/>
      <c r="J78" s="1042"/>
      <c r="K78" s="1863" t="s">
        <v>341</v>
      </c>
      <c r="L78" s="1825"/>
      <c r="M78" s="1826"/>
      <c r="O78" s="1830" t="s">
        <v>385</v>
      </c>
      <c r="P78" s="1831"/>
      <c r="Q78" s="1831"/>
      <c r="R78" s="1864" t="s">
        <v>140</v>
      </c>
      <c r="S78" s="1830" t="s">
        <v>385</v>
      </c>
      <c r="T78" s="1831"/>
      <c r="U78" s="1831"/>
      <c r="V78" s="1832" t="s">
        <v>140</v>
      </c>
      <c r="W78" s="958"/>
      <c r="X78" s="958"/>
      <c r="Y78" s="958"/>
      <c r="AD78" s="958"/>
      <c r="AE78" s="958"/>
      <c r="AF78" s="958"/>
      <c r="AG78" s="958"/>
      <c r="AH78" s="958"/>
      <c r="AI78" s="958"/>
      <c r="AJ78" s="958"/>
      <c r="AK78" s="958"/>
      <c r="AL78" s="958"/>
      <c r="AM78" s="958"/>
    </row>
    <row r="79" spans="2:39" ht="32.25" customHeight="1" x14ac:dyDescent="0.25">
      <c r="E79" s="1502" t="s">
        <v>7</v>
      </c>
      <c r="F79" s="951" t="s">
        <v>275</v>
      </c>
      <c r="G79" s="1402" t="s">
        <v>468</v>
      </c>
      <c r="H79" s="1402" t="s">
        <v>347</v>
      </c>
      <c r="I79" s="1488" t="s">
        <v>5</v>
      </c>
      <c r="J79" s="1022"/>
      <c r="K79" s="1476" t="s">
        <v>468</v>
      </c>
      <c r="L79" s="1402" t="s">
        <v>347</v>
      </c>
      <c r="M79" s="1488" t="s">
        <v>5</v>
      </c>
      <c r="O79" s="1476" t="s">
        <v>897</v>
      </c>
      <c r="P79" s="1402" t="s">
        <v>898</v>
      </c>
      <c r="Q79" s="1402" t="s">
        <v>899</v>
      </c>
      <c r="R79" s="1824"/>
      <c r="S79" s="1476" t="s">
        <v>897</v>
      </c>
      <c r="T79" s="1425" t="s">
        <v>898</v>
      </c>
      <c r="U79" s="1425" t="s">
        <v>899</v>
      </c>
      <c r="V79" s="1833"/>
      <c r="AD79" s="949"/>
      <c r="AE79" s="949"/>
      <c r="AF79" s="949"/>
      <c r="AG79" s="958"/>
      <c r="AH79" s="949"/>
      <c r="AI79" s="949"/>
      <c r="AJ79" s="949"/>
      <c r="AK79" s="958"/>
      <c r="AL79" s="958"/>
      <c r="AM79" s="958"/>
    </row>
    <row r="80" spans="2:39" ht="13.8" x14ac:dyDescent="0.3">
      <c r="E80" s="1489">
        <v>4</v>
      </c>
      <c r="F80" s="988">
        <v>2023</v>
      </c>
      <c r="G80" s="1344">
        <f t="array" ref="G80:G100">TRANSPOSE(E67:Y67)</f>
        <v>-14087484.358480424</v>
      </c>
      <c r="H80" s="1344">
        <f t="array" ref="H80:H100">TRANSPOSE(E68:Y68)</f>
        <v>-2569902.7407697178</v>
      </c>
      <c r="I80" s="1503">
        <f>SUM(G80:H80)</f>
        <v>-16657387.099250142</v>
      </c>
      <c r="J80" s="1345"/>
      <c r="K80" s="1504">
        <f t="array" ref="K80:K100">TRANSPOSE(E31:Y31)</f>
        <v>104351678.6545316</v>
      </c>
      <c r="L80" s="1344">
        <f t="array" ref="L80:L100">TRANSPOSE(E35:Y35)</f>
        <v>8074381.4821807677</v>
      </c>
      <c r="M80" s="1503">
        <f>SUM(K80:L80)</f>
        <v>112426060.13671237</v>
      </c>
      <c r="O80" s="1504">
        <f t="array" ref="O80:O100">TRANSPOSE(E64:Y64)</f>
        <v>-7558300.2391947582</v>
      </c>
      <c r="P80" s="1344">
        <f t="array" ref="P80:P100">TRANSPOSE(E65:Y65)</f>
        <v>-4042862.6200915389</v>
      </c>
      <c r="Q80" s="1344">
        <f t="array" ref="Q80:Q100">TRANSPOSE(E66:Y66)</f>
        <v>-2486321.4991941415</v>
      </c>
      <c r="R80" s="1562">
        <f t="array" ref="R80:R100">TRANSPOSE(E68:Y68)</f>
        <v>-2569902.7407697178</v>
      </c>
      <c r="S80" s="1504">
        <f t="array" ref="S80:S100">TRANSPOSE(E19:Y19)</f>
        <v>55776602.166259289</v>
      </c>
      <c r="T80" s="1344">
        <f t="array" ref="T80:T100">TRANSPOSE(E23:Y23)</f>
        <v>30217861.273854066</v>
      </c>
      <c r="U80" s="1344">
        <f t="array" ref="U80:U100">TRANSPOSE(E27:Y27)</f>
        <v>18357215.214418251</v>
      </c>
      <c r="V80" s="1505">
        <f t="array" ref="V80:V100">TRANSPOSE(E35:Y35)</f>
        <v>8074381.4821807677</v>
      </c>
      <c r="AD80" s="982"/>
      <c r="AE80" s="982"/>
      <c r="AF80" s="982"/>
      <c r="AG80" s="982"/>
      <c r="AH80" s="982"/>
      <c r="AI80" s="982"/>
      <c r="AJ80" s="982"/>
      <c r="AK80" s="982"/>
      <c r="AL80" s="958"/>
      <c r="AM80" s="958"/>
    </row>
    <row r="81" spans="5:39" ht="13.8" x14ac:dyDescent="0.3">
      <c r="E81" s="1489">
        <v>5</v>
      </c>
      <c r="F81" s="988">
        <f>F80+1</f>
        <v>2024</v>
      </c>
      <c r="G81" s="1344">
        <v>-13992160.363629803</v>
      </c>
      <c r="H81" s="1344">
        <v>-2499110.0104821334</v>
      </c>
      <c r="I81" s="1503">
        <f t="shared" ref="I81:I100" si="21">SUM(G81:H81)</f>
        <v>-16491270.374111935</v>
      </c>
      <c r="J81" s="1345"/>
      <c r="K81" s="1504">
        <v>104996556.09505215</v>
      </c>
      <c r="L81" s="1344">
        <v>8127289.1303293984</v>
      </c>
      <c r="M81" s="1503">
        <f t="shared" ref="M81:M100" si="22">SUM(K81:L81)</f>
        <v>113123845.22538155</v>
      </c>
      <c r="O81" s="1504">
        <v>-7522772.6710009426</v>
      </c>
      <c r="P81" s="1344">
        <v>-3995054.2021454573</v>
      </c>
      <c r="Q81" s="1344">
        <v>-2474333.4904834013</v>
      </c>
      <c r="R81" s="1562">
        <v>-2499110.0104821334</v>
      </c>
      <c r="S81" s="1504">
        <v>56245337.976499222</v>
      </c>
      <c r="T81" s="1344">
        <v>30241573.000159848</v>
      </c>
      <c r="U81" s="1344">
        <v>18509645.118393082</v>
      </c>
      <c r="V81" s="1505">
        <v>8127289.1303293984</v>
      </c>
      <c r="AD81" s="982"/>
      <c r="AE81" s="982"/>
      <c r="AF81" s="982"/>
      <c r="AG81" s="982"/>
      <c r="AH81" s="982"/>
      <c r="AI81" s="982"/>
      <c r="AJ81" s="982"/>
      <c r="AK81" s="982"/>
      <c r="AL81" s="958"/>
      <c r="AM81" s="958"/>
    </row>
    <row r="82" spans="5:39" ht="13.8" x14ac:dyDescent="0.3">
      <c r="E82" s="1489">
        <v>6</v>
      </c>
      <c r="F82" s="988">
        <f t="shared" ref="F82:F100" si="23">F81+1</f>
        <v>2025</v>
      </c>
      <c r="G82" s="1344">
        <v>-13894887.557154238</v>
      </c>
      <c r="H82" s="1344">
        <v>-2425884.0805097139</v>
      </c>
      <c r="I82" s="1503">
        <f t="shared" si="21"/>
        <v>-16320771.637663953</v>
      </c>
      <c r="J82" s="1345"/>
      <c r="K82" s="1504">
        <v>105646657.01543607</v>
      </c>
      <c r="L82" s="1344">
        <v>8180543.4575690255</v>
      </c>
      <c r="M82" s="1503">
        <f t="shared" si="22"/>
        <v>113827200.47300509</v>
      </c>
      <c r="O82" s="1504">
        <v>-7485910.7196574062</v>
      </c>
      <c r="P82" s="1344">
        <v>-3947068.9701220691</v>
      </c>
      <c r="Q82" s="1344">
        <v>-2461907.8673747517</v>
      </c>
      <c r="R82" s="1562">
        <v>-2425884.0805097139</v>
      </c>
      <c r="S82" s="1504">
        <v>56718012.952110782</v>
      </c>
      <c r="T82" s="1344">
        <v>30265303.332877226</v>
      </c>
      <c r="U82" s="1344">
        <v>18663340.730448056</v>
      </c>
      <c r="V82" s="1505">
        <v>8180543.4575690255</v>
      </c>
      <c r="AD82" s="982"/>
      <c r="AE82" s="982"/>
      <c r="AF82" s="982"/>
      <c r="AG82" s="982"/>
      <c r="AH82" s="982"/>
      <c r="AI82" s="982"/>
      <c r="AJ82" s="982"/>
      <c r="AK82" s="982"/>
      <c r="AL82" s="958"/>
      <c r="AM82" s="958"/>
    </row>
    <row r="83" spans="5:39" ht="13.8" x14ac:dyDescent="0.3">
      <c r="E83" s="1489">
        <v>7</v>
      </c>
      <c r="F83" s="988">
        <f t="shared" si="23"/>
        <v>2026</v>
      </c>
      <c r="G83" s="1344">
        <v>-13795636.237229362</v>
      </c>
      <c r="H83" s="1344">
        <v>-2350164.75115785</v>
      </c>
      <c r="I83" s="1503">
        <f t="shared" si="21"/>
        <v>-16145800.988387212</v>
      </c>
      <c r="J83" s="1345"/>
      <c r="K83" s="1504">
        <v>106302025.04412992</v>
      </c>
      <c r="L83" s="1344">
        <v>8234146.7355257086</v>
      </c>
      <c r="M83" s="1503">
        <f t="shared" si="22"/>
        <v>114536171.77965564</v>
      </c>
      <c r="O83" s="1504">
        <v>-7447692.3387762606</v>
      </c>
      <c r="P83" s="1344">
        <v>-3898906.4046579003</v>
      </c>
      <c r="Q83" s="1344">
        <v>-2449037.4937951937</v>
      </c>
      <c r="R83" s="1562">
        <v>-2350164.75115785</v>
      </c>
      <c r="S83" s="1504">
        <v>57194660.197080277</v>
      </c>
      <c r="T83" s="1344">
        <v>30289052.286606513</v>
      </c>
      <c r="U83" s="1344">
        <v>18818312.560443129</v>
      </c>
      <c r="V83" s="1505">
        <v>8234146.7355257086</v>
      </c>
      <c r="AD83" s="982"/>
      <c r="AE83" s="982"/>
      <c r="AF83" s="982"/>
      <c r="AG83" s="982"/>
      <c r="AH83" s="982"/>
      <c r="AI83" s="982"/>
      <c r="AJ83" s="982"/>
      <c r="AK83" s="982"/>
      <c r="AL83" s="958"/>
      <c r="AM83" s="958"/>
    </row>
    <row r="84" spans="5:39" ht="13.8" x14ac:dyDescent="0.3">
      <c r="E84" s="1489">
        <v>8</v>
      </c>
      <c r="F84" s="988">
        <f t="shared" si="23"/>
        <v>2027</v>
      </c>
      <c r="G84" s="1344">
        <v>-13694376.306486547</v>
      </c>
      <c r="H84" s="1344">
        <v>-2271890.433718957</v>
      </c>
      <c r="I84" s="1503">
        <f t="shared" si="21"/>
        <v>-15966266.740205504</v>
      </c>
      <c r="J84" s="1345"/>
      <c r="K84" s="1504">
        <v>106962704.17506024</v>
      </c>
      <c r="L84" s="1344">
        <v>8288101.250710411</v>
      </c>
      <c r="M84" s="1503">
        <f t="shared" si="22"/>
        <v>115250805.42577066</v>
      </c>
      <c r="O84" s="1504">
        <v>-7408095.1834106371</v>
      </c>
      <c r="P84" s="1344">
        <v>-3850565.9849419221</v>
      </c>
      <c r="Q84" s="1344">
        <v>-2435715.1381339878</v>
      </c>
      <c r="R84" s="1562">
        <v>-2271890.433718957</v>
      </c>
      <c r="S84" s="1504">
        <v>57675313.093593456</v>
      </c>
      <c r="T84" s="1344">
        <v>30312819.875959463</v>
      </c>
      <c r="U84" s="1344">
        <v>18974571.205507323</v>
      </c>
      <c r="V84" s="1505">
        <v>8288101.250710411</v>
      </c>
      <c r="AD84" s="982"/>
      <c r="AE84" s="982"/>
      <c r="AF84" s="982"/>
      <c r="AG84" s="982"/>
      <c r="AH84" s="982"/>
      <c r="AI84" s="982"/>
      <c r="AJ84" s="982"/>
      <c r="AK84" s="982"/>
      <c r="AL84" s="958"/>
      <c r="AM84" s="958"/>
    </row>
    <row r="85" spans="5:39" ht="13.8" x14ac:dyDescent="0.3">
      <c r="E85" s="1489">
        <v>9</v>
      </c>
      <c r="F85" s="988">
        <f t="shared" si="23"/>
        <v>2028</v>
      </c>
      <c r="G85" s="1344">
        <v>-13591077.267145947</v>
      </c>
      <c r="H85" s="1344">
        <v>-2190998.1190206613</v>
      </c>
      <c r="I85" s="1503">
        <f t="shared" si="21"/>
        <v>-15782075.386166608</v>
      </c>
      <c r="J85" s="1345"/>
      <c r="K85" s="1504">
        <v>107628738.77069624</v>
      </c>
      <c r="L85" s="1344">
        <v>8342409.304616523</v>
      </c>
      <c r="M85" s="1503">
        <f t="shared" si="22"/>
        <v>115971148.07531276</v>
      </c>
      <c r="O85" s="1504">
        <v>-7367096.6063609123</v>
      </c>
      <c r="P85" s="1344">
        <v>-3802047.1887116097</v>
      </c>
      <c r="Q85" s="1344">
        <v>-2421933.4720734283</v>
      </c>
      <c r="R85" s="1562">
        <v>-2190998.1190206613</v>
      </c>
      <c r="S85" s="1504">
        <v>58160005.304373562</v>
      </c>
      <c r="T85" s="1344">
        <v>30336606.115559328</v>
      </c>
      <c r="U85" s="1344">
        <v>19132127.350763351</v>
      </c>
      <c r="V85" s="1505">
        <v>8342409.304616523</v>
      </c>
      <c r="AD85" s="982"/>
      <c r="AE85" s="982"/>
      <c r="AF85" s="982"/>
      <c r="AG85" s="982"/>
      <c r="AH85" s="982"/>
      <c r="AI85" s="982"/>
      <c r="AJ85" s="982"/>
      <c r="AK85" s="982"/>
      <c r="AL85" s="958"/>
      <c r="AM85" s="958"/>
    </row>
    <row r="86" spans="5:39" ht="13.8" x14ac:dyDescent="0.3">
      <c r="E86" s="1489">
        <v>10</v>
      </c>
      <c r="F86" s="988">
        <f t="shared" si="23"/>
        <v>2029</v>
      </c>
      <c r="G86" s="1344">
        <v>-13485708.216092721</v>
      </c>
      <c r="H86" s="1344">
        <v>-2107423.3452656548</v>
      </c>
      <c r="I86" s="1503">
        <f t="shared" si="21"/>
        <v>-15593131.561358375</v>
      </c>
      <c r="J86" s="1345"/>
      <c r="K86" s="1504">
        <v>108300173.565138</v>
      </c>
      <c r="L86" s="1344">
        <v>8397073.2138180621</v>
      </c>
      <c r="M86" s="1503">
        <f t="shared" si="22"/>
        <v>116697246.77895606</v>
      </c>
      <c r="O86" s="1504">
        <v>-7324673.6544376686</v>
      </c>
      <c r="P86" s="1344">
        <v>-3753349.4922489189</v>
      </c>
      <c r="Q86" s="1344">
        <v>-2407685.0694061331</v>
      </c>
      <c r="R86" s="1562">
        <v>-2107423.3452656548</v>
      </c>
      <c r="S86" s="1504">
        <v>58648770.775038883</v>
      </c>
      <c r="T86" s="1344">
        <v>30360411.020040806</v>
      </c>
      <c r="U86" s="1344">
        <v>19290991.770058308</v>
      </c>
      <c r="V86" s="1505">
        <v>8397073.2138180621</v>
      </c>
      <c r="AD86" s="982"/>
      <c r="AE86" s="982"/>
      <c r="AF86" s="982"/>
      <c r="AG86" s="982"/>
      <c r="AH86" s="982"/>
      <c r="AI86" s="982"/>
      <c r="AJ86" s="982"/>
      <c r="AK86" s="982"/>
      <c r="AL86" s="958"/>
      <c r="AM86" s="958"/>
    </row>
    <row r="87" spans="5:39" ht="13.8" x14ac:dyDescent="0.3">
      <c r="E87" s="1489">
        <v>11</v>
      </c>
      <c r="F87" s="988">
        <f t="shared" si="23"/>
        <v>2030</v>
      </c>
      <c r="G87" s="1344">
        <v>-13378237.839895099</v>
      </c>
      <c r="H87" s="1344">
        <v>-2021100.1651471974</v>
      </c>
      <c r="I87" s="1503">
        <f t="shared" si="21"/>
        <v>-15399338.005042296</v>
      </c>
      <c r="J87" s="1345"/>
      <c r="K87" s="1504">
        <v>108977053.66723056</v>
      </c>
      <c r="L87" s="1344">
        <v>8452095.3100684583</v>
      </c>
      <c r="M87" s="1503">
        <f t="shared" si="22"/>
        <v>117429148.97729902</v>
      </c>
      <c r="O87" s="1504">
        <v>-7280803.0646803603</v>
      </c>
      <c r="P87" s="1344">
        <v>-3704472.3703763001</v>
      </c>
      <c r="Q87" s="1344">
        <v>-2392962.4048384391</v>
      </c>
      <c r="R87" s="1562">
        <v>-2021100.1651471974</v>
      </c>
      <c r="S87" s="1504">
        <v>59141643.736480117</v>
      </c>
      <c r="T87" s="1344">
        <v>30384234.604050074</v>
      </c>
      <c r="U87" s="1344">
        <v>19451175.326700371</v>
      </c>
      <c r="V87" s="1505">
        <v>8452095.3100684583</v>
      </c>
      <c r="AD87" s="982"/>
      <c r="AE87" s="982"/>
      <c r="AF87" s="982"/>
      <c r="AG87" s="982"/>
      <c r="AH87" s="982"/>
      <c r="AI87" s="982"/>
      <c r="AJ87" s="982"/>
      <c r="AK87" s="982"/>
      <c r="AL87" s="958"/>
      <c r="AM87" s="958"/>
    </row>
    <row r="88" spans="5:39" ht="13.8" x14ac:dyDescent="0.3">
      <c r="E88" s="1489">
        <v>12</v>
      </c>
      <c r="F88" s="988">
        <f t="shared" si="23"/>
        <v>2031</v>
      </c>
      <c r="G88" s="1344">
        <v>-13268634.409764603</v>
      </c>
      <c r="H88" s="1344">
        <v>-1931961.112224116</v>
      </c>
      <c r="I88" s="1503">
        <f t="shared" si="21"/>
        <v>-15200595.52198872</v>
      </c>
      <c r="J88" s="1345"/>
      <c r="K88" s="1504">
        <v>109659424.56370427</v>
      </c>
      <c r="L88" s="1344">
        <v>8507477.9404000398</v>
      </c>
      <c r="M88" s="1503">
        <f t="shared" si="22"/>
        <v>118166902.5041043</v>
      </c>
      <c r="O88" s="1504">
        <v>-7235461.2605319172</v>
      </c>
      <c r="P88" s="1344">
        <v>-3655415.2964527197</v>
      </c>
      <c r="Q88" s="1344">
        <v>-2377757.8527799658</v>
      </c>
      <c r="R88" s="1562">
        <v>-1931961.112224116</v>
      </c>
      <c r="S88" s="1504">
        <v>59638658.707257785</v>
      </c>
      <c r="T88" s="1344">
        <v>30408076.882244837</v>
      </c>
      <c r="U88" s="1344">
        <v>19612688.974201649</v>
      </c>
      <c r="V88" s="1505">
        <v>8507477.9404000398</v>
      </c>
      <c r="AD88" s="982"/>
      <c r="AE88" s="982"/>
      <c r="AF88" s="982"/>
      <c r="AG88" s="982"/>
      <c r="AH88" s="982"/>
      <c r="AI88" s="982"/>
      <c r="AJ88" s="982"/>
      <c r="AK88" s="982"/>
      <c r="AL88" s="958"/>
      <c r="AM88" s="958"/>
    </row>
    <row r="89" spans="5:39" ht="13.8" x14ac:dyDescent="0.3">
      <c r="E89" s="1489">
        <v>13</v>
      </c>
      <c r="F89" s="988">
        <f t="shared" si="23"/>
        <v>2032</v>
      </c>
      <c r="G89" s="1344">
        <v>-13156865.776456863</v>
      </c>
      <c r="H89" s="1344">
        <v>-1839937.1665385365</v>
      </c>
      <c r="I89" s="1503">
        <f t="shared" si="21"/>
        <v>-14996802.942995399</v>
      </c>
      <c r="J89" s="1345"/>
      <c r="K89" s="1504">
        <v>110347332.12234116</v>
      </c>
      <c r="L89" s="1344">
        <v>8563223.4672241397</v>
      </c>
      <c r="M89" s="1503">
        <f t="shared" si="22"/>
        <v>118910555.58956529</v>
      </c>
      <c r="O89" s="1504">
        <v>-7188624.3479681909</v>
      </c>
      <c r="P89" s="1344">
        <v>-3606177.742369581</v>
      </c>
      <c r="Q89" s="1344">
        <v>-2362063.686119087</v>
      </c>
      <c r="R89" s="1562">
        <v>-1839937.1665385365</v>
      </c>
      <c r="S89" s="1504">
        <v>60139850.496019699</v>
      </c>
      <c r="T89" s="1344">
        <v>30431937.869294271</v>
      </c>
      <c r="U89" s="1344">
        <v>19775543.757027186</v>
      </c>
      <c r="V89" s="1505">
        <v>8563223.4672241397</v>
      </c>
      <c r="AD89" s="982"/>
      <c r="AE89" s="982"/>
      <c r="AF89" s="982"/>
      <c r="AG89" s="982"/>
      <c r="AH89" s="982"/>
      <c r="AI89" s="982"/>
      <c r="AJ89" s="982"/>
      <c r="AK89" s="982"/>
      <c r="AL89" s="958"/>
      <c r="AM89" s="958"/>
    </row>
    <row r="90" spans="5:39" ht="13.8" x14ac:dyDescent="0.3">
      <c r="E90" s="1489">
        <v>14</v>
      </c>
      <c r="F90" s="988">
        <f t="shared" si="23"/>
        <v>2033</v>
      </c>
      <c r="G90" s="1344">
        <v>-13042899.36511305</v>
      </c>
      <c r="H90" s="1344">
        <v>-1744957.7194593502</v>
      </c>
      <c r="I90" s="1503">
        <f t="shared" si="21"/>
        <v>-14787857.084572401</v>
      </c>
      <c r="J90" s="1345"/>
      <c r="K90" s="1504">
        <v>111040822.59516817</v>
      </c>
      <c r="L90" s="1344">
        <v>8619334.2684318665</v>
      </c>
      <c r="M90" s="1503">
        <f t="shared" si="22"/>
        <v>119660156.86360005</v>
      </c>
      <c r="O90" s="1504">
        <v>-7140268.111582078</v>
      </c>
      <c r="P90" s="1344">
        <v>-3556759.178546723</v>
      </c>
      <c r="Q90" s="1344">
        <v>-2345872.0749842413</v>
      </c>
      <c r="R90" s="1562">
        <v>-1744957.7194593502</v>
      </c>
      <c r="S90" s="1504">
        <v>60645254.203938857</v>
      </c>
      <c r="T90" s="1344">
        <v>30455817.579879079</v>
      </c>
      <c r="U90" s="1344">
        <v>19939750.811350234</v>
      </c>
      <c r="V90" s="1505">
        <v>8619334.2684318665</v>
      </c>
      <c r="AD90" s="982"/>
      <c r="AE90" s="982"/>
      <c r="AF90" s="982"/>
      <c r="AG90" s="982"/>
      <c r="AH90" s="982"/>
      <c r="AI90" s="982"/>
      <c r="AJ90" s="982"/>
      <c r="AK90" s="982"/>
      <c r="AL90" s="958"/>
      <c r="AM90" s="958"/>
    </row>
    <row r="91" spans="5:39" ht="13.8" x14ac:dyDescent="0.3">
      <c r="E91" s="1489">
        <v>15</v>
      </c>
      <c r="F91" s="988">
        <f t="shared" si="23"/>
        <v>2034</v>
      </c>
      <c r="G91" s="1344">
        <v>-12926702.170040742</v>
      </c>
      <c r="H91" s="1344">
        <v>-1646950.5377340475</v>
      </c>
      <c r="I91" s="1503">
        <f t="shared" si="21"/>
        <v>-14573652.707774788</v>
      </c>
      <c r="J91" s="1345"/>
      <c r="K91" s="1504">
        <v>111739942.62167692</v>
      </c>
      <c r="L91" s="1344">
        <v>8675812.737495536</v>
      </c>
      <c r="M91" s="1503">
        <f t="shared" si="22"/>
        <v>120415755.35917246</v>
      </c>
      <c r="O91" s="1504">
        <v>-7090368.0106216595</v>
      </c>
      <c r="P91" s="1344">
        <v>-3507159.0739283785</v>
      </c>
      <c r="Q91" s="1344">
        <v>-2329175.085490711</v>
      </c>
      <c r="R91" s="1562">
        <v>-1646950.5377340475</v>
      </c>
      <c r="S91" s="1504">
        <v>61154905.227171779</v>
      </c>
      <c r="T91" s="1344">
        <v>30479716.028691452</v>
      </c>
      <c r="U91" s="1344">
        <v>20105321.365813691</v>
      </c>
      <c r="V91" s="1505">
        <v>8675812.737495536</v>
      </c>
      <c r="AD91" s="982"/>
      <c r="AE91" s="982"/>
      <c r="AF91" s="982"/>
      <c r="AG91" s="982"/>
      <c r="AH91" s="982"/>
      <c r="AI91" s="982"/>
      <c r="AJ91" s="982"/>
      <c r="AK91" s="982"/>
      <c r="AL91" s="958"/>
      <c r="AM91" s="958"/>
    </row>
    <row r="92" spans="5:39" ht="13.8" x14ac:dyDescent="0.3">
      <c r="E92" s="1489">
        <v>16</v>
      </c>
      <c r="F92" s="988">
        <f t="shared" si="23"/>
        <v>2035</v>
      </c>
      <c r="G92" s="1344">
        <v>-12808240.749433905</v>
      </c>
      <c r="H92" s="1344">
        <v>-1545841.7267310694</v>
      </c>
      <c r="I92" s="1503">
        <f t="shared" si="21"/>
        <v>-14354082.476164974</v>
      </c>
      <c r="J92" s="1345"/>
      <c r="K92" s="1504">
        <v>112444739.23207057</v>
      </c>
      <c r="L92" s="1344">
        <v>8732661.2835707739</v>
      </c>
      <c r="M92" s="1503">
        <f t="shared" si="22"/>
        <v>121177400.51564133</v>
      </c>
      <c r="O92" s="1504">
        <v>-7038899.1749817804</v>
      </c>
      <c r="P92" s="1344">
        <v>-3457376.8959791251</v>
      </c>
      <c r="Q92" s="1344">
        <v>-2311964.678472992</v>
      </c>
      <c r="R92" s="1562">
        <v>-1545841.7267310694</v>
      </c>
      <c r="S92" s="1504">
        <v>61668839.259337418</v>
      </c>
      <c r="T92" s="1344">
        <v>30503633.230435167</v>
      </c>
      <c r="U92" s="1344">
        <v>20272266.742297977</v>
      </c>
      <c r="V92" s="1505">
        <v>8732661.2835707739</v>
      </c>
      <c r="AD92" s="982"/>
      <c r="AE92" s="982"/>
      <c r="AF92" s="982"/>
      <c r="AG92" s="982"/>
      <c r="AH92" s="982"/>
      <c r="AI92" s="982"/>
      <c r="AJ92" s="982"/>
      <c r="AK92" s="982"/>
      <c r="AL92" s="958"/>
      <c r="AM92" s="958"/>
    </row>
    <row r="93" spans="5:39" ht="13.8" x14ac:dyDescent="0.3">
      <c r="E93" s="1489">
        <v>17</v>
      </c>
      <c r="F93" s="988">
        <f t="shared" si="23"/>
        <v>2036</v>
      </c>
      <c r="G93" s="1344">
        <v>-12687481.220030934</v>
      </c>
      <c r="H93" s="1344">
        <v>-1441555.6928544911</v>
      </c>
      <c r="I93" s="1503">
        <f t="shared" si="21"/>
        <v>-14129036.912885424</v>
      </c>
      <c r="J93" s="1345"/>
      <c r="K93" s="1504">
        <v>113155259.85053776</v>
      </c>
      <c r="L93" s="1344">
        <v>8789882.3315992784</v>
      </c>
      <c r="M93" s="1503">
        <f t="shared" si="22"/>
        <v>121945142.18213704</v>
      </c>
      <c r="O93" s="1504">
        <v>-6985836.4011486843</v>
      </c>
      <c r="P93" s="1344">
        <v>-3407412.1106798276</v>
      </c>
      <c r="Q93" s="1344">
        <v>-2294232.7082024217</v>
      </c>
      <c r="R93" s="1562">
        <v>-1441555.6928544911</v>
      </c>
      <c r="S93" s="1504">
        <v>62187092.294017039</v>
      </c>
      <c r="T93" s="1344">
        <v>30527569.199825499</v>
      </c>
      <c r="U93" s="1344">
        <v>20440598.356695224</v>
      </c>
      <c r="V93" s="1505">
        <v>8789882.3315992784</v>
      </c>
      <c r="AD93" s="982"/>
      <c r="AE93" s="982"/>
      <c r="AF93" s="982"/>
      <c r="AG93" s="982"/>
      <c r="AH93" s="982"/>
      <c r="AI93" s="982"/>
      <c r="AJ93" s="982"/>
      <c r="AK93" s="982"/>
      <c r="AL93" s="958"/>
      <c r="AM93" s="958"/>
    </row>
    <row r="94" spans="5:39" ht="13.8" x14ac:dyDescent="0.3">
      <c r="E94" s="1489">
        <v>18</v>
      </c>
      <c r="F94" s="988">
        <f t="shared" si="23"/>
        <v>2037</v>
      </c>
      <c r="G94" s="1344">
        <v>-12564389.251710504</v>
      </c>
      <c r="H94" s="1344">
        <v>-1334015.1051124111</v>
      </c>
      <c r="I94" s="1503">
        <f t="shared" si="21"/>
        <v>-13898404.356822915</v>
      </c>
      <c r="J94" s="1345"/>
      <c r="K94" s="1504">
        <v>113871552.29855417</v>
      </c>
      <c r="L94" s="1344">
        <v>8847478.3224122506</v>
      </c>
      <c r="M94" s="1503">
        <f t="shared" si="22"/>
        <v>122719030.62096642</v>
      </c>
      <c r="O94" s="1504">
        <v>-6931154.14809715</v>
      </c>
      <c r="P94" s="1344">
        <v>-3357264.1825234778</v>
      </c>
      <c r="Q94" s="1344">
        <v>-2275970.921089869</v>
      </c>
      <c r="R94" s="1562">
        <v>-1334015.1051124111</v>
      </c>
      <c r="S94" s="1504">
        <v>62709700.627275005</v>
      </c>
      <c r="T94" s="1344">
        <v>30551523.951589264</v>
      </c>
      <c r="U94" s="1344">
        <v>20610327.719689887</v>
      </c>
      <c r="V94" s="1505">
        <v>8847478.3224122506</v>
      </c>
      <c r="AD94" s="982"/>
      <c r="AE94" s="982"/>
      <c r="AF94" s="982"/>
      <c r="AG94" s="982"/>
      <c r="AH94" s="982"/>
      <c r="AI94" s="982"/>
      <c r="AJ94" s="982"/>
      <c r="AK94" s="982"/>
      <c r="AL94" s="958"/>
      <c r="AM94" s="958"/>
    </row>
    <row r="95" spans="5:39" ht="13.8" x14ac:dyDescent="0.3">
      <c r="E95" s="1489">
        <v>19</v>
      </c>
      <c r="F95" s="988">
        <f t="shared" si="23"/>
        <v>2038</v>
      </c>
      <c r="G95" s="1344">
        <v>-12438930.062024102</v>
      </c>
      <c r="H95" s="1344">
        <v>-1223140.855820057</v>
      </c>
      <c r="I95" s="1503">
        <f t="shared" si="21"/>
        <v>-13662070.917844158</v>
      </c>
      <c r="J95" s="1345"/>
      <c r="K95" s="1504">
        <v>114593664.79821156</v>
      </c>
      <c r="L95" s="1344">
        <v>8905451.7128345203</v>
      </c>
      <c r="M95" s="1503">
        <f t="shared" si="22"/>
        <v>123499116.51104608</v>
      </c>
      <c r="O95" s="1504">
        <v>-6874826.5331394151</v>
      </c>
      <c r="P95" s="1344">
        <v>-3306932.5745112523</v>
      </c>
      <c r="Q95" s="1344">
        <v>-2257170.9543734454</v>
      </c>
      <c r="R95" s="1562">
        <v>-1223140.855820057</v>
      </c>
      <c r="S95" s="1504">
        <v>63236700.860200822</v>
      </c>
      <c r="T95" s="1344">
        <v>30575497.500464853</v>
      </c>
      <c r="U95" s="1344">
        <v>20781466.437545884</v>
      </c>
      <c r="V95" s="1505">
        <v>8905451.7128345203</v>
      </c>
      <c r="AD95" s="982"/>
      <c r="AE95" s="982"/>
      <c r="AF95" s="982"/>
      <c r="AG95" s="982"/>
      <c r="AH95" s="982"/>
      <c r="AI95" s="982"/>
      <c r="AJ95" s="982"/>
      <c r="AK95" s="982"/>
      <c r="AL95" s="958"/>
      <c r="AM95" s="958"/>
    </row>
    <row r="96" spans="5:39" ht="13.8" x14ac:dyDescent="0.3">
      <c r="E96" s="1489">
        <v>20</v>
      </c>
      <c r="F96" s="988">
        <f t="shared" si="23"/>
        <v>2039</v>
      </c>
      <c r="G96" s="1344">
        <v>-12311068.410664797</v>
      </c>
      <c r="H96" s="1344">
        <v>-1108852.0204181271</v>
      </c>
      <c r="I96" s="1503">
        <f t="shared" si="21"/>
        <v>-13419920.431082923</v>
      </c>
      <c r="J96" s="1345"/>
      <c r="K96" s="1504">
        <v>115321645.97557491</v>
      </c>
      <c r="L96" s="1344">
        <v>8963804.9757893439</v>
      </c>
      <c r="M96" s="1503">
        <f t="shared" si="22"/>
        <v>124285450.95136425</v>
      </c>
      <c r="O96" s="1504">
        <v>-6816827.3277255446</v>
      </c>
      <c r="P96" s="1344">
        <v>-3256416.7481482923</v>
      </c>
      <c r="Q96" s="1344">
        <v>-2237824.3347909786</v>
      </c>
      <c r="R96" s="1562">
        <v>-1108852.0204181271</v>
      </c>
      <c r="S96" s="1504">
        <v>63768129.901472472</v>
      </c>
      <c r="T96" s="1344">
        <v>30599489.861202225</v>
      </c>
      <c r="U96" s="1344">
        <v>20954026.212900225</v>
      </c>
      <c r="V96" s="1505">
        <v>8963804.9757893439</v>
      </c>
      <c r="AD96" s="982"/>
      <c r="AE96" s="982"/>
      <c r="AF96" s="982"/>
      <c r="AG96" s="982"/>
      <c r="AH96" s="982"/>
      <c r="AI96" s="982"/>
      <c r="AJ96" s="982"/>
      <c r="AK96" s="982"/>
      <c r="AL96" s="958"/>
      <c r="AM96" s="958"/>
    </row>
    <row r="97" spans="5:39" ht="13.8" x14ac:dyDescent="0.3">
      <c r="E97" s="1489">
        <v>21</v>
      </c>
      <c r="F97" s="988">
        <f t="shared" si="23"/>
        <v>2040</v>
      </c>
      <c r="G97" s="1344">
        <v>-12180768.59387143</v>
      </c>
      <c r="H97" s="1344">
        <v>-991065.8163864594</v>
      </c>
      <c r="I97" s="1503">
        <f t="shared" si="21"/>
        <v>-13171834.410257889</v>
      </c>
      <c r="J97" s="1345"/>
      <c r="K97" s="1504">
        <v>116055544.86406757</v>
      </c>
      <c r="L97" s="1344">
        <v>9022540.6004038882</v>
      </c>
      <c r="M97" s="1503">
        <f t="shared" si="22"/>
        <v>125078085.46447146</v>
      </c>
      <c r="O97" s="1504">
        <v>-6757129.9531947151</v>
      </c>
      <c r="P97" s="1344">
        <v>-3205716.1634396389</v>
      </c>
      <c r="Q97" s="1344">
        <v>-2217922.477237083</v>
      </c>
      <c r="R97" s="1562">
        <v>-991065.8163864594</v>
      </c>
      <c r="S97" s="1504">
        <v>64304024.969941407</v>
      </c>
      <c r="T97" s="1344">
        <v>30623501.048562903</v>
      </c>
      <c r="U97" s="1344">
        <v>21128018.845563263</v>
      </c>
      <c r="V97" s="1505">
        <v>9022540.6004038882</v>
      </c>
      <c r="AD97" s="982"/>
      <c r="AE97" s="982"/>
      <c r="AF97" s="982"/>
      <c r="AG97" s="982"/>
      <c r="AH97" s="982"/>
      <c r="AI97" s="982"/>
      <c r="AJ97" s="982"/>
      <c r="AK97" s="982"/>
      <c r="AL97" s="958"/>
      <c r="AM97" s="958"/>
    </row>
    <row r="98" spans="5:39" ht="13.8" x14ac:dyDescent="0.3">
      <c r="E98" s="1489">
        <v>22</v>
      </c>
      <c r="F98" s="988">
        <f t="shared" si="23"/>
        <v>2041</v>
      </c>
      <c r="G98" s="1344">
        <v>-12047994.438767299</v>
      </c>
      <c r="H98" s="1344">
        <v>-869697.56123269349</v>
      </c>
      <c r="I98" s="1503">
        <f t="shared" si="21"/>
        <v>-12917691.999999993</v>
      </c>
      <c r="J98" s="1345"/>
      <c r="K98" s="1504">
        <v>116795410.9078846</v>
      </c>
      <c r="L98" s="1344">
        <v>9081661.0921154059</v>
      </c>
      <c r="M98" s="1503">
        <f t="shared" si="22"/>
        <v>125877072</v>
      </c>
      <c r="O98" s="1504">
        <v>-6695707.4764764905</v>
      </c>
      <c r="P98" s="1344">
        <v>-3154830.2788861059</v>
      </c>
      <c r="Q98" s="1344">
        <v>-2197456.683404699</v>
      </c>
      <c r="R98" s="1562">
        <v>-869697.56123269349</v>
      </c>
      <c r="S98" s="1504">
        <v>64844423.597239055</v>
      </c>
      <c r="T98" s="1344">
        <v>30647531.077319987</v>
      </c>
      <c r="U98" s="1344">
        <v>21303456.233325552</v>
      </c>
      <c r="V98" s="1505">
        <v>9081661.0921154059</v>
      </c>
      <c r="AD98" s="982"/>
      <c r="AE98" s="982"/>
      <c r="AF98" s="982"/>
      <c r="AG98" s="982"/>
      <c r="AH98" s="982"/>
      <c r="AI98" s="982"/>
      <c r="AJ98" s="982"/>
      <c r="AK98" s="982"/>
      <c r="AL98" s="958"/>
      <c r="AM98" s="958"/>
    </row>
    <row r="99" spans="5:39" ht="13.8" x14ac:dyDescent="0.3">
      <c r="E99" s="1489">
        <v>23</v>
      </c>
      <c r="F99" s="988">
        <f t="shared" si="23"/>
        <v>2042</v>
      </c>
      <c r="G99" s="1344">
        <v>-11912709.297633156</v>
      </c>
      <c r="H99" s="1344">
        <v>-744660.62953516282</v>
      </c>
      <c r="I99" s="1503">
        <f t="shared" si="21"/>
        <v>-12657369.927168319</v>
      </c>
      <c r="J99" s="1345"/>
      <c r="K99" s="1504">
        <v>117541293.96543516</v>
      </c>
      <c r="L99" s="1344">
        <v>9141168.972778108</v>
      </c>
      <c r="M99" s="1503">
        <f t="shared" si="22"/>
        <v>126682462.93821327</v>
      </c>
      <c r="O99" s="1504">
        <v>-6632532.6057420447</v>
      </c>
      <c r="P99" s="1344">
        <v>-3103758.5514801815</v>
      </c>
      <c r="Q99" s="1344">
        <v>-2176418.1404109187</v>
      </c>
      <c r="R99" s="1562">
        <v>-744660.62953516282</v>
      </c>
      <c r="S99" s="1504">
        <v>65389363.630405508</v>
      </c>
      <c r="T99" s="1344">
        <v>30671579.96225819</v>
      </c>
      <c r="U99" s="1344">
        <v>21480350.372771457</v>
      </c>
      <c r="V99" s="1505">
        <v>9141168.972778108</v>
      </c>
      <c r="AD99" s="982"/>
      <c r="AE99" s="982"/>
      <c r="AF99" s="982"/>
      <c r="AG99" s="982"/>
      <c r="AH99" s="982"/>
      <c r="AI99" s="982"/>
      <c r="AJ99" s="982"/>
      <c r="AK99" s="982"/>
      <c r="AL99" s="958"/>
      <c r="AM99" s="958"/>
    </row>
    <row r="100" spans="5:39" ht="13.8" x14ac:dyDescent="0.3">
      <c r="E100" s="1489">
        <v>24</v>
      </c>
      <c r="F100" s="988">
        <f t="shared" si="23"/>
        <v>2043</v>
      </c>
      <c r="G100" s="1344">
        <v>-11774876.042113051</v>
      </c>
      <c r="H100" s="1344">
        <v>-615866.40901870467</v>
      </c>
      <c r="I100" s="1503">
        <f t="shared" si="21"/>
        <v>-12390742.451131755</v>
      </c>
      <c r="J100" s="1345"/>
      <c r="K100" s="1504">
        <v>118293244.31281333</v>
      </c>
      <c r="L100" s="1344">
        <v>9201066.7807707377</v>
      </c>
      <c r="M100" s="1503">
        <f t="shared" si="22"/>
        <v>127494311.09358406</v>
      </c>
      <c r="O100" s="1504">
        <v>-6567577.6860044003</v>
      </c>
      <c r="P100" s="1344">
        <v>-3052500.4367018044</v>
      </c>
      <c r="Q100" s="1344">
        <v>-2154797.9194068462</v>
      </c>
      <c r="R100" s="1562">
        <v>-615866.40901870467</v>
      </c>
      <c r="S100" s="1504">
        <v>65938883.23454003</v>
      </c>
      <c r="T100" s="1344">
        <v>30695647.718173802</v>
      </c>
      <c r="U100" s="1344">
        <v>21658713.360099494</v>
      </c>
      <c r="V100" s="1505">
        <v>9201066.7807707377</v>
      </c>
      <c r="AD100" s="982"/>
      <c r="AE100" s="982"/>
      <c r="AF100" s="982"/>
      <c r="AG100" s="982"/>
      <c r="AH100" s="982"/>
      <c r="AI100" s="982"/>
      <c r="AJ100" s="982"/>
      <c r="AK100" s="982"/>
      <c r="AL100" s="958"/>
      <c r="AM100" s="958"/>
    </row>
    <row r="101" spans="5:39" ht="14.4" thickBot="1" x14ac:dyDescent="0.35">
      <c r="E101" s="1490" t="s">
        <v>314</v>
      </c>
      <c r="F101" s="1491"/>
      <c r="G101" s="1057">
        <f>SUM(G80:G100)</f>
        <v>-273041127.93373859</v>
      </c>
      <c r="H101" s="1057">
        <f>SUM(H80:H100)</f>
        <v>-35474975.999137104</v>
      </c>
      <c r="I101" s="1481">
        <f>SUM(I80:I100)</f>
        <v>-308516103.93287569</v>
      </c>
      <c r="J101" s="1346"/>
      <c r="K101" s="1480">
        <f>SUM(K80:K100)</f>
        <v>2334025465.095315</v>
      </c>
      <c r="L101" s="1057">
        <f>SUM(L80:L100)</f>
        <v>181147604.37064424</v>
      </c>
      <c r="M101" s="1481">
        <f>SUM(M80:M100)</f>
        <v>2515173069.4659591</v>
      </c>
      <c r="O101" s="1480">
        <f t="shared" ref="O101:V101" si="24">SUM(O80:O100)</f>
        <v>-149350557.51473302</v>
      </c>
      <c r="P101" s="1057">
        <f t="shared" si="24"/>
        <v>-74622046.466942847</v>
      </c>
      <c r="Q101" s="1057">
        <f t="shared" si="24"/>
        <v>-49068523.952062741</v>
      </c>
      <c r="R101" s="1563">
        <f t="shared" si="24"/>
        <v>-35474975.999137104</v>
      </c>
      <c r="S101" s="1480">
        <f t="shared" si="24"/>
        <v>1275186173.2102525</v>
      </c>
      <c r="T101" s="1057">
        <f t="shared" si="24"/>
        <v>639579383.41904902</v>
      </c>
      <c r="U101" s="1057">
        <f t="shared" si="24"/>
        <v>419259908.46601361</v>
      </c>
      <c r="V101" s="1481">
        <f t="shared" si="24"/>
        <v>181147604.37064424</v>
      </c>
      <c r="AD101" s="1475"/>
      <c r="AE101" s="1475"/>
      <c r="AF101" s="1475"/>
      <c r="AG101" s="1475"/>
      <c r="AH101" s="1475"/>
      <c r="AI101" s="1475"/>
      <c r="AJ101" s="1475"/>
      <c r="AK101" s="1475"/>
      <c r="AL101" s="958"/>
      <c r="AM101" s="958"/>
    </row>
    <row r="102" spans="5:39" ht="17.399999999999999" x14ac:dyDescent="0.3">
      <c r="E102" s="1865" t="s">
        <v>338</v>
      </c>
      <c r="F102" s="1865"/>
      <c r="G102" s="1865"/>
      <c r="H102" s="1865"/>
      <c r="I102" s="1865"/>
      <c r="J102" s="601"/>
      <c r="K102" s="1827" t="s">
        <v>904</v>
      </c>
      <c r="L102" s="1827"/>
      <c r="M102" s="1483">
        <f>M100-M80</f>
        <v>15068250.956871688</v>
      </c>
      <c r="N102" s="810"/>
      <c r="O102" s="1475"/>
      <c r="P102" s="1475"/>
      <c r="Q102" s="1475"/>
      <c r="R102" s="1475"/>
      <c r="AD102" s="958"/>
      <c r="AE102" s="958"/>
      <c r="AF102" s="958"/>
      <c r="AG102" s="958"/>
      <c r="AH102" s="958"/>
      <c r="AI102" s="958"/>
      <c r="AJ102" s="958"/>
      <c r="AK102" s="958"/>
      <c r="AL102" s="958"/>
      <c r="AM102" s="958"/>
    </row>
    <row r="103" spans="5:39" ht="13.8" x14ac:dyDescent="0.3">
      <c r="K103" s="1794" t="s">
        <v>866</v>
      </c>
      <c r="L103" s="1794"/>
      <c r="M103" s="1408">
        <f>M102/21</f>
        <v>717535.75985103275</v>
      </c>
      <c r="Q103" s="1836" t="s">
        <v>904</v>
      </c>
      <c r="R103" s="1837"/>
      <c r="S103" s="1408">
        <f>S100-S80</f>
        <v>10162281.068280742</v>
      </c>
      <c r="T103" s="1408">
        <f t="shared" ref="T103:V103" si="25">T100-T80</f>
        <v>477786.44431973621</v>
      </c>
      <c r="U103" s="1408">
        <f t="shared" si="25"/>
        <v>3301498.1456812434</v>
      </c>
      <c r="V103" s="1408">
        <f t="shared" si="25"/>
        <v>1126685.29858997</v>
      </c>
      <c r="AD103" s="958"/>
      <c r="AE103" s="958"/>
      <c r="AF103" s="958"/>
      <c r="AG103" s="958"/>
      <c r="AH103" s="958"/>
      <c r="AI103" s="958"/>
      <c r="AJ103" s="958"/>
      <c r="AK103" s="958"/>
      <c r="AL103" s="958"/>
      <c r="AM103" s="958"/>
    </row>
    <row r="104" spans="5:39" ht="13.8" x14ac:dyDescent="0.3">
      <c r="Q104" s="1836" t="s">
        <v>866</v>
      </c>
      <c r="R104" s="1837"/>
      <c r="S104" s="1408">
        <f>S103/21</f>
        <v>483918.14610860671</v>
      </c>
      <c r="T104" s="1408">
        <f t="shared" ref="T104:V104" si="26">T103/21</f>
        <v>22751.735443796962</v>
      </c>
      <c r="U104" s="1408">
        <f t="shared" si="26"/>
        <v>157214.19741339254</v>
      </c>
      <c r="V104" s="1408">
        <f t="shared" si="26"/>
        <v>53651.680885236667</v>
      </c>
      <c r="AD104" s="958"/>
      <c r="AE104" s="958"/>
      <c r="AF104" s="958"/>
      <c r="AG104" s="958"/>
      <c r="AH104" s="958"/>
      <c r="AI104" s="958"/>
      <c r="AJ104" s="958"/>
      <c r="AK104" s="958"/>
      <c r="AL104" s="958"/>
      <c r="AM104" s="958"/>
    </row>
    <row r="105" spans="5:39" x14ac:dyDescent="0.3">
      <c r="G105" s="1045">
        <f>G101/$I$101</f>
        <v>0.88501418387269848</v>
      </c>
      <c r="H105" s="1045">
        <f>H101/$I$101</f>
        <v>0.11498581612730156</v>
      </c>
      <c r="I105" s="1045">
        <f>I101/$I$101</f>
        <v>1</v>
      </c>
      <c r="K105" s="1045"/>
      <c r="L105" s="1045"/>
      <c r="M105" s="1045"/>
      <c r="AD105" s="958"/>
      <c r="AE105" s="958"/>
      <c r="AF105" s="958"/>
      <c r="AG105" s="958"/>
      <c r="AH105" s="958"/>
      <c r="AI105" s="958"/>
      <c r="AJ105" s="958"/>
      <c r="AK105" s="958"/>
      <c r="AL105" s="958"/>
      <c r="AM105" s="958"/>
    </row>
    <row r="106" spans="5:39" x14ac:dyDescent="0.3">
      <c r="AD106" s="958"/>
      <c r="AE106" s="958"/>
      <c r="AF106" s="958"/>
      <c r="AG106" s="958"/>
      <c r="AH106" s="958"/>
      <c r="AI106" s="958"/>
      <c r="AJ106" s="958"/>
      <c r="AK106" s="958"/>
      <c r="AL106" s="958"/>
      <c r="AM106" s="958"/>
    </row>
    <row r="107" spans="5:39" x14ac:dyDescent="0.3">
      <c r="AD107" s="958"/>
      <c r="AE107" s="958"/>
      <c r="AF107" s="958"/>
      <c r="AG107" s="958"/>
      <c r="AH107" s="958"/>
      <c r="AI107" s="958"/>
      <c r="AJ107" s="958"/>
      <c r="AK107" s="958"/>
      <c r="AL107" s="958"/>
      <c r="AM107" s="958"/>
    </row>
    <row r="108" spans="5:39" x14ac:dyDescent="0.3">
      <c r="AD108" s="958"/>
      <c r="AE108" s="958"/>
      <c r="AF108" s="958"/>
      <c r="AG108" s="958"/>
      <c r="AH108" s="958"/>
      <c r="AI108" s="958"/>
      <c r="AJ108" s="958"/>
      <c r="AK108" s="958"/>
      <c r="AL108" s="958"/>
      <c r="AM108" s="958"/>
    </row>
    <row r="109" spans="5:39" x14ac:dyDescent="0.3">
      <c r="AD109" s="958"/>
      <c r="AE109" s="958"/>
      <c r="AF109" s="958"/>
      <c r="AG109" s="958"/>
      <c r="AH109" s="958"/>
      <c r="AI109" s="958"/>
      <c r="AJ109" s="958"/>
      <c r="AK109" s="958"/>
      <c r="AL109" s="958"/>
      <c r="AM109" s="958"/>
    </row>
    <row r="110" spans="5:39" x14ac:dyDescent="0.3">
      <c r="AD110" s="958"/>
      <c r="AE110" s="958"/>
      <c r="AF110" s="958"/>
      <c r="AG110" s="958"/>
      <c r="AH110" s="958"/>
      <c r="AI110" s="958"/>
      <c r="AJ110" s="958"/>
      <c r="AK110" s="958"/>
      <c r="AL110" s="958"/>
      <c r="AM110" s="958"/>
    </row>
    <row r="111" spans="5:39" x14ac:dyDescent="0.3">
      <c r="AD111" s="958"/>
      <c r="AE111" s="958"/>
      <c r="AF111" s="958"/>
      <c r="AG111" s="958"/>
      <c r="AH111" s="958"/>
      <c r="AI111" s="958"/>
      <c r="AJ111" s="958"/>
      <c r="AK111" s="958"/>
      <c r="AL111" s="958"/>
      <c r="AM111" s="958"/>
    </row>
    <row r="112" spans="5:39" x14ac:dyDescent="0.3">
      <c r="AD112" s="958"/>
      <c r="AE112" s="958"/>
      <c r="AF112" s="958"/>
      <c r="AG112" s="958"/>
      <c r="AH112" s="958"/>
      <c r="AI112" s="958"/>
      <c r="AJ112" s="958"/>
      <c r="AK112" s="958"/>
      <c r="AL112" s="958"/>
      <c r="AM112" s="958"/>
    </row>
    <row r="113" spans="30:39" x14ac:dyDescent="0.3">
      <c r="AD113" s="958"/>
      <c r="AE113" s="958"/>
      <c r="AF113" s="958"/>
      <c r="AG113" s="958"/>
      <c r="AH113" s="958"/>
      <c r="AI113" s="958"/>
      <c r="AJ113" s="958"/>
      <c r="AK113" s="958"/>
      <c r="AL113" s="958"/>
      <c r="AM113" s="958"/>
    </row>
    <row r="114" spans="30:39" x14ac:dyDescent="0.3">
      <c r="AD114" s="958"/>
      <c r="AE114" s="958"/>
      <c r="AF114" s="958"/>
      <c r="AG114" s="958"/>
      <c r="AH114" s="958"/>
      <c r="AI114" s="958"/>
      <c r="AJ114" s="958"/>
      <c r="AK114" s="958"/>
      <c r="AL114" s="958"/>
      <c r="AM114" s="958"/>
    </row>
    <row r="115" spans="30:39" x14ac:dyDescent="0.3">
      <c r="AD115" s="958"/>
      <c r="AE115" s="958"/>
      <c r="AF115" s="958"/>
      <c r="AG115" s="958"/>
      <c r="AH115" s="958"/>
      <c r="AI115" s="958"/>
      <c r="AJ115" s="958"/>
      <c r="AK115" s="958"/>
      <c r="AL115" s="958"/>
      <c r="AM115" s="958"/>
    </row>
    <row r="116" spans="30:39" x14ac:dyDescent="0.3">
      <c r="AD116" s="958"/>
      <c r="AE116" s="958"/>
      <c r="AF116" s="958"/>
      <c r="AG116" s="958"/>
      <c r="AH116" s="958"/>
      <c r="AI116" s="958"/>
      <c r="AJ116" s="958"/>
      <c r="AK116" s="958"/>
      <c r="AL116" s="958"/>
      <c r="AM116" s="958"/>
    </row>
    <row r="117" spans="30:39" x14ac:dyDescent="0.3">
      <c r="AD117" s="958"/>
      <c r="AE117" s="958"/>
      <c r="AF117" s="958"/>
      <c r="AG117" s="958"/>
      <c r="AH117" s="958"/>
      <c r="AI117" s="958"/>
      <c r="AJ117" s="958"/>
      <c r="AK117" s="958"/>
      <c r="AL117" s="958"/>
      <c r="AM117" s="958"/>
    </row>
  </sheetData>
  <mergeCells count="19">
    <mergeCell ref="V78:V79"/>
    <mergeCell ref="Q103:R103"/>
    <mergeCell ref="Q104:R104"/>
    <mergeCell ref="K103:L103"/>
    <mergeCell ref="G5:M5"/>
    <mergeCell ref="G78:I78"/>
    <mergeCell ref="K78:M78"/>
    <mergeCell ref="S78:U78"/>
    <mergeCell ref="O78:Q78"/>
    <mergeCell ref="R78:R79"/>
    <mergeCell ref="E102:I102"/>
    <mergeCell ref="E74:I74"/>
    <mergeCell ref="O74:R74"/>
    <mergeCell ref="K102:L102"/>
    <mergeCell ref="B6:C6"/>
    <mergeCell ref="E15:Y15"/>
    <mergeCell ref="E39:Y39"/>
    <mergeCell ref="B13:C13"/>
    <mergeCell ref="E62:Y6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sheetPr>
  <dimension ref="A2:AS51"/>
  <sheetViews>
    <sheetView workbookViewId="0"/>
  </sheetViews>
  <sheetFormatPr defaultColWidth="9.109375" defaultRowHeight="13.2" x14ac:dyDescent="0.3"/>
  <cols>
    <col min="1" max="1" width="11.109375" style="1" customWidth="1"/>
    <col min="2" max="2" width="46.5546875" style="1" customWidth="1"/>
    <col min="3" max="3" width="18.109375" style="1" bestFit="1" customWidth="1"/>
    <col min="4" max="4" width="17.88671875" style="1" bestFit="1" customWidth="1"/>
    <col min="5" max="5" width="27.109375" style="1" bestFit="1" customWidth="1"/>
    <col min="6" max="6" width="4.5546875" style="1" customWidth="1"/>
    <col min="7" max="9" width="10.6640625" style="1" customWidth="1"/>
    <col min="10" max="10" width="12.5546875" style="1" bestFit="1" customWidth="1"/>
    <col min="11" max="17" width="12.44140625" style="1" customWidth="1"/>
    <col min="18" max="20" width="10.6640625" style="1" customWidth="1"/>
    <col min="21" max="21" width="11.6640625" style="1" customWidth="1"/>
    <col min="22" max="22" width="11.5546875" style="1" bestFit="1" customWidth="1"/>
    <col min="23" max="28" width="10.6640625" style="1" customWidth="1"/>
    <col min="29" max="29" width="12.88671875" style="1" customWidth="1"/>
    <col min="30" max="35" width="10.6640625" style="1" customWidth="1"/>
    <col min="36" max="36" width="18.44140625" style="1" customWidth="1"/>
    <col min="37" max="16384" width="9.109375" style="1"/>
  </cols>
  <sheetData>
    <row r="2" spans="2:45" ht="21" x14ac:dyDescent="0.25">
      <c r="B2" s="1570" t="s">
        <v>713</v>
      </c>
      <c r="F2" s="6"/>
      <c r="AP2" s="6"/>
    </row>
    <row r="3" spans="2:45" ht="21.75" thickBot="1" x14ac:dyDescent="0.3">
      <c r="B3" s="1570" t="s">
        <v>718</v>
      </c>
    </row>
    <row r="4" spans="2:45" ht="36.75" customHeight="1" thickBot="1" x14ac:dyDescent="0.3">
      <c r="B4" s="2" t="s">
        <v>0</v>
      </c>
      <c r="C4" s="143" t="s">
        <v>89</v>
      </c>
      <c r="D4" s="3" t="s">
        <v>1</v>
      </c>
      <c r="E4" s="4" t="s">
        <v>3</v>
      </c>
      <c r="G4" s="5">
        <v>2015</v>
      </c>
      <c r="H4" s="5">
        <v>2016</v>
      </c>
      <c r="I4" s="5">
        <v>2017</v>
      </c>
      <c r="J4" s="5">
        <v>2018</v>
      </c>
      <c r="K4" s="5">
        <v>2019</v>
      </c>
      <c r="L4" s="5">
        <v>2020</v>
      </c>
      <c r="M4" s="5">
        <v>2021</v>
      </c>
      <c r="N4" s="5">
        <v>2022</v>
      </c>
      <c r="O4" s="5">
        <v>2023</v>
      </c>
      <c r="P4" s="5">
        <v>2024</v>
      </c>
      <c r="Q4" s="5">
        <v>2025</v>
      </c>
      <c r="R4" s="5">
        <v>2026</v>
      </c>
      <c r="S4" s="5">
        <v>2027</v>
      </c>
      <c r="T4" s="5">
        <v>2028</v>
      </c>
      <c r="U4" s="5">
        <v>2029</v>
      </c>
      <c r="V4" s="5">
        <v>2030</v>
      </c>
      <c r="W4" s="5">
        <v>2031</v>
      </c>
      <c r="X4" s="5">
        <v>2032</v>
      </c>
      <c r="Y4" s="5">
        <v>2033</v>
      </c>
      <c r="Z4" s="5">
        <v>2034</v>
      </c>
      <c r="AA4" s="5">
        <v>2035</v>
      </c>
      <c r="AB4" s="5">
        <v>2036</v>
      </c>
      <c r="AC4" s="5">
        <v>2037</v>
      </c>
      <c r="AD4" s="5">
        <v>2038</v>
      </c>
      <c r="AE4" s="5">
        <v>2039</v>
      </c>
      <c r="AF4" s="5">
        <v>2040</v>
      </c>
      <c r="AG4" s="5">
        <v>2041</v>
      </c>
      <c r="AH4" s="5">
        <v>2042</v>
      </c>
      <c r="AI4" s="5">
        <v>2043</v>
      </c>
    </row>
    <row r="5" spans="2:45" ht="12.75" x14ac:dyDescent="0.25">
      <c r="F5" s="6"/>
    </row>
    <row r="6" spans="2:45" ht="13.5" thickBot="1" x14ac:dyDescent="0.3"/>
    <row r="7" spans="2:45" ht="16.5" thickBot="1" x14ac:dyDescent="0.3">
      <c r="B7" s="7" t="s">
        <v>45</v>
      </c>
      <c r="C7" s="19"/>
      <c r="D7" s="19"/>
      <c r="E7" s="20"/>
    </row>
    <row r="8" spans="2:45" ht="12.75" x14ac:dyDescent="0.25">
      <c r="B8" s="22"/>
      <c r="C8" s="23"/>
      <c r="D8" s="23"/>
      <c r="E8" s="30"/>
    </row>
    <row r="9" spans="2:45" s="591" customFormat="1" ht="15" x14ac:dyDescent="0.25">
      <c r="B9" s="590" t="s">
        <v>66</v>
      </c>
      <c r="C9" s="592"/>
      <c r="D9" s="592"/>
      <c r="E9" s="593"/>
    </row>
    <row r="10" spans="2:45" s="591" customFormat="1" ht="15" x14ac:dyDescent="0.25">
      <c r="B10" s="590" t="s">
        <v>31</v>
      </c>
      <c r="C10" s="594">
        <f>Rates!E155</f>
        <v>76900</v>
      </c>
      <c r="D10" s="592" t="s">
        <v>30</v>
      </c>
      <c r="E10" s="593" t="s">
        <v>384</v>
      </c>
    </row>
    <row r="11" spans="2:45" s="591" customFormat="1" ht="15" x14ac:dyDescent="0.25">
      <c r="B11" s="590" t="s">
        <v>34</v>
      </c>
      <c r="C11" s="594">
        <f>B48</f>
        <v>631700000</v>
      </c>
      <c r="D11" s="592" t="s">
        <v>2</v>
      </c>
      <c r="E11" s="595" t="s">
        <v>516</v>
      </c>
      <c r="G11" s="596"/>
      <c r="H11" s="596"/>
      <c r="I11" s="596"/>
      <c r="J11" s="596"/>
      <c r="K11" s="596"/>
      <c r="L11" s="596"/>
      <c r="M11" s="596"/>
      <c r="N11" s="596"/>
      <c r="O11" s="596"/>
      <c r="P11" s="596"/>
      <c r="Q11" s="596"/>
      <c r="R11" s="596"/>
      <c r="S11" s="596"/>
      <c r="T11" s="596"/>
      <c r="U11" s="596"/>
      <c r="V11" s="596"/>
      <c r="W11" s="596"/>
      <c r="X11" s="596"/>
      <c r="Y11" s="596"/>
      <c r="Z11" s="596"/>
      <c r="AA11" s="596"/>
      <c r="AB11" s="596"/>
      <c r="AC11" s="596"/>
      <c r="AD11" s="596"/>
      <c r="AE11" s="596"/>
      <c r="AF11" s="596"/>
      <c r="AG11" s="596"/>
      <c r="AH11" s="596"/>
      <c r="AI11" s="596"/>
    </row>
    <row r="12" spans="2:45" s="591" customFormat="1" ht="15" x14ac:dyDescent="0.25">
      <c r="B12" s="590" t="s">
        <v>64</v>
      </c>
      <c r="C12" s="594">
        <f>C48</f>
        <v>25095608.983374793</v>
      </c>
      <c r="D12" s="592" t="s">
        <v>2</v>
      </c>
      <c r="E12" s="595" t="s">
        <v>516</v>
      </c>
      <c r="G12" s="596"/>
      <c r="H12" s="596"/>
      <c r="I12" s="596"/>
      <c r="J12" s="596"/>
      <c r="K12" s="596"/>
      <c r="L12" s="596"/>
      <c r="M12" s="596"/>
      <c r="N12" s="596"/>
      <c r="O12" s="596"/>
      <c r="P12" s="596"/>
      <c r="Q12" s="596"/>
      <c r="R12" s="596"/>
      <c r="S12" s="596"/>
      <c r="T12" s="596"/>
      <c r="U12" s="596"/>
      <c r="V12" s="596"/>
      <c r="W12" s="596"/>
      <c r="X12" s="596"/>
      <c r="Y12" s="596"/>
      <c r="Z12" s="596"/>
      <c r="AA12" s="596"/>
      <c r="AB12" s="596"/>
      <c r="AC12" s="596"/>
      <c r="AD12" s="596"/>
      <c r="AE12" s="596"/>
      <c r="AF12" s="596"/>
      <c r="AG12" s="596"/>
      <c r="AH12" s="596"/>
      <c r="AI12" s="596"/>
      <c r="AJ12" s="597"/>
    </row>
    <row r="13" spans="2:45" s="591" customFormat="1" ht="15" x14ac:dyDescent="0.25">
      <c r="B13" s="590"/>
      <c r="C13" s="592"/>
      <c r="D13" s="592"/>
      <c r="E13" s="593"/>
      <c r="AJ13" s="599"/>
      <c r="AK13" s="599"/>
      <c r="AL13" s="599"/>
      <c r="AM13" s="599"/>
      <c r="AN13" s="599"/>
      <c r="AO13" s="599"/>
      <c r="AP13" s="599"/>
      <c r="AQ13" s="599"/>
      <c r="AR13" s="599"/>
      <c r="AS13" s="599"/>
    </row>
    <row r="14" spans="2:45" s="591" customFormat="1" ht="15" x14ac:dyDescent="0.25">
      <c r="B14" s="590" t="s">
        <v>25</v>
      </c>
      <c r="C14" s="592"/>
      <c r="D14" s="592"/>
      <c r="E14" s="593"/>
      <c r="AJ14" s="599"/>
      <c r="AK14" s="599"/>
      <c r="AL14" s="599"/>
      <c r="AM14" s="599"/>
      <c r="AN14" s="599"/>
      <c r="AO14" s="599"/>
      <c r="AP14" s="599"/>
      <c r="AQ14" s="599"/>
      <c r="AR14" s="599"/>
      <c r="AS14" s="599"/>
    </row>
    <row r="15" spans="2:45" s="591" customFormat="1" ht="30" customHeight="1" x14ac:dyDescent="0.25">
      <c r="B15" s="598" t="s">
        <v>68</v>
      </c>
      <c r="C15" s="594">
        <f>C11/C10</f>
        <v>8214.5643693107941</v>
      </c>
      <c r="D15" s="592" t="s">
        <v>32</v>
      </c>
      <c r="E15" s="593" t="s">
        <v>10</v>
      </c>
      <c r="G15" s="596"/>
      <c r="H15" s="596"/>
      <c r="I15" s="596"/>
      <c r="J15" s="596">
        <f t="array" ref="J15:AI15">TRANSPOSE(B22:B47)</f>
        <v>0</v>
      </c>
      <c r="K15" s="596">
        <v>157925000</v>
      </c>
      <c r="L15" s="596">
        <v>157925000</v>
      </c>
      <c r="M15" s="596">
        <v>157925000</v>
      </c>
      <c r="N15" s="596">
        <v>157925000</v>
      </c>
      <c r="O15" s="596">
        <v>0</v>
      </c>
      <c r="P15" s="596">
        <v>0</v>
      </c>
      <c r="Q15" s="596">
        <v>0</v>
      </c>
      <c r="R15" s="596">
        <v>0</v>
      </c>
      <c r="S15" s="596">
        <v>0</v>
      </c>
      <c r="T15" s="596">
        <v>0</v>
      </c>
      <c r="U15" s="596">
        <v>0</v>
      </c>
      <c r="V15" s="596">
        <v>0</v>
      </c>
      <c r="W15" s="596">
        <v>0</v>
      </c>
      <c r="X15" s="596">
        <v>0</v>
      </c>
      <c r="Y15" s="596">
        <v>0</v>
      </c>
      <c r="Z15" s="596">
        <v>0</v>
      </c>
      <c r="AA15" s="596">
        <v>0</v>
      </c>
      <c r="AB15" s="596">
        <v>0</v>
      </c>
      <c r="AC15" s="596">
        <v>0</v>
      </c>
      <c r="AD15" s="596">
        <v>0</v>
      </c>
      <c r="AE15" s="596">
        <v>0</v>
      </c>
      <c r="AF15" s="596">
        <v>0</v>
      </c>
      <c r="AG15" s="596">
        <v>0</v>
      </c>
      <c r="AH15" s="596">
        <v>0</v>
      </c>
      <c r="AI15" s="596">
        <v>0</v>
      </c>
      <c r="AJ15" s="736">
        <f>SUM(J15:AF15)</f>
        <v>631700000</v>
      </c>
      <c r="AK15" s="599"/>
      <c r="AL15" s="599"/>
      <c r="AM15" s="599"/>
      <c r="AN15" s="599"/>
      <c r="AO15" s="599"/>
      <c r="AP15" s="599"/>
      <c r="AQ15" s="599"/>
      <c r="AR15" s="599"/>
      <c r="AS15" s="599"/>
    </row>
    <row r="16" spans="2:45" s="591" customFormat="1" ht="48" customHeight="1" x14ac:dyDescent="0.25">
      <c r="B16" s="598" t="s">
        <v>69</v>
      </c>
      <c r="C16" s="594">
        <f>C12/C10</f>
        <v>326.34081902958121</v>
      </c>
      <c r="D16" s="592" t="s">
        <v>32</v>
      </c>
      <c r="E16" s="593" t="s">
        <v>10</v>
      </c>
      <c r="G16" s="596"/>
      <c r="H16" s="596"/>
      <c r="I16" s="596"/>
      <c r="J16" s="596">
        <f t="array" ref="J16:AI16">TRANSPOSE(D22:D47)</f>
        <v>0</v>
      </c>
      <c r="K16" s="596">
        <v>157925000</v>
      </c>
      <c r="L16" s="596">
        <v>157925000</v>
      </c>
      <c r="M16" s="596">
        <v>157925000</v>
      </c>
      <c r="N16" s="596">
        <v>157925000</v>
      </c>
      <c r="O16" s="596">
        <v>0</v>
      </c>
      <c r="P16" s="596">
        <v>0</v>
      </c>
      <c r="Q16" s="596">
        <v>0</v>
      </c>
      <c r="R16" s="596">
        <v>0</v>
      </c>
      <c r="S16" s="596">
        <v>0</v>
      </c>
      <c r="T16" s="596">
        <v>0</v>
      </c>
      <c r="U16" s="596">
        <v>8365202.9944582647</v>
      </c>
      <c r="V16" s="596">
        <v>0</v>
      </c>
      <c r="W16" s="596">
        <v>0</v>
      </c>
      <c r="X16" s="596">
        <v>0</v>
      </c>
      <c r="Y16" s="596">
        <v>0</v>
      </c>
      <c r="Z16" s="596">
        <v>0</v>
      </c>
      <c r="AA16" s="596">
        <v>0</v>
      </c>
      <c r="AB16" s="596">
        <v>8365202.9944582647</v>
      </c>
      <c r="AC16" s="596">
        <v>0</v>
      </c>
      <c r="AD16" s="596">
        <v>0</v>
      </c>
      <c r="AE16" s="596">
        <v>0</v>
      </c>
      <c r="AF16" s="596">
        <v>0</v>
      </c>
      <c r="AG16" s="596">
        <v>0</v>
      </c>
      <c r="AH16" s="596">
        <v>0</v>
      </c>
      <c r="AI16" s="596">
        <v>8365202.9944582647</v>
      </c>
      <c r="AJ16" s="736">
        <f>SUM(J16:AF16)</f>
        <v>648430405.98891664</v>
      </c>
      <c r="AK16" s="597"/>
      <c r="AL16" s="597"/>
      <c r="AM16" s="597"/>
      <c r="AN16" s="597"/>
      <c r="AO16" s="599"/>
      <c r="AP16" s="599"/>
      <c r="AQ16" s="599"/>
      <c r="AR16" s="599"/>
      <c r="AS16" s="599"/>
    </row>
    <row r="17" spans="1:45" s="591" customFormat="1" ht="50.25" customHeight="1" x14ac:dyDescent="0.25">
      <c r="B17" s="598" t="s">
        <v>70</v>
      </c>
      <c r="C17" s="594">
        <f>AVERAGE(K15:N15)/C10</f>
        <v>2053.6410923276985</v>
      </c>
      <c r="D17" s="592" t="s">
        <v>46</v>
      </c>
      <c r="E17" s="593" t="s">
        <v>10</v>
      </c>
      <c r="G17" s="596"/>
      <c r="H17" s="596"/>
      <c r="I17" s="596"/>
      <c r="J17" s="596"/>
      <c r="K17" s="596"/>
      <c r="L17" s="596"/>
      <c r="M17" s="596"/>
      <c r="N17" s="596"/>
      <c r="O17" s="596"/>
      <c r="P17" s="596"/>
      <c r="Q17" s="596"/>
      <c r="R17" s="596"/>
      <c r="S17" s="596"/>
      <c r="T17" s="596"/>
      <c r="U17" s="596"/>
      <c r="V17" s="596"/>
      <c r="W17" s="596"/>
      <c r="X17" s="596"/>
      <c r="Y17" s="596"/>
      <c r="Z17" s="596"/>
      <c r="AA17" s="596"/>
      <c r="AB17" s="596"/>
      <c r="AC17" s="596"/>
      <c r="AD17" s="596"/>
      <c r="AE17" s="596"/>
      <c r="AF17" s="596"/>
      <c r="AG17" s="596"/>
      <c r="AH17" s="596"/>
      <c r="AI17" s="596"/>
      <c r="AJ17" s="736">
        <f>SUM(AJ15:AJ16)</f>
        <v>1280130405.9889166</v>
      </c>
      <c r="AK17" s="599"/>
      <c r="AL17" s="599"/>
      <c r="AM17" s="599"/>
      <c r="AN17" s="599"/>
      <c r="AO17" s="599"/>
      <c r="AP17" s="599"/>
      <c r="AQ17" s="599"/>
      <c r="AR17" s="599"/>
      <c r="AS17" s="599"/>
    </row>
    <row r="18" spans="1:45" ht="13.5" thickBot="1" x14ac:dyDescent="0.3">
      <c r="B18" s="35"/>
      <c r="C18" s="36"/>
      <c r="D18" s="12"/>
      <c r="E18" s="34"/>
      <c r="AJ18" s="600"/>
      <c r="AK18" s="600"/>
      <c r="AL18" s="600"/>
      <c r="AM18" s="600"/>
      <c r="AN18" s="600"/>
      <c r="AO18" s="600"/>
      <c r="AP18" s="600"/>
      <c r="AQ18" s="600"/>
      <c r="AR18" s="600"/>
      <c r="AS18" s="600"/>
    </row>
    <row r="19" spans="1:45" ht="12.75" x14ac:dyDescent="0.25">
      <c r="C19" s="133"/>
      <c r="AJ19" s="600"/>
      <c r="AK19" s="600"/>
      <c r="AL19" s="600"/>
      <c r="AM19" s="600"/>
      <c r="AN19" s="600"/>
      <c r="AO19" s="600"/>
      <c r="AP19" s="600"/>
      <c r="AQ19" s="600"/>
      <c r="AR19" s="600"/>
      <c r="AS19" s="600"/>
    </row>
    <row r="20" spans="1:45" ht="12.75" x14ac:dyDescent="0.25">
      <c r="C20" s="133"/>
      <c r="AJ20" s="600"/>
      <c r="AK20" s="600"/>
      <c r="AL20" s="600"/>
      <c r="AM20" s="600"/>
      <c r="AN20" s="600"/>
      <c r="AO20" s="600"/>
      <c r="AP20" s="600"/>
      <c r="AQ20" s="600"/>
      <c r="AR20" s="600"/>
      <c r="AS20" s="600"/>
    </row>
    <row r="21" spans="1:45" ht="15" x14ac:dyDescent="0.25">
      <c r="B21" s="625" t="s">
        <v>511</v>
      </c>
      <c r="C21" s="625" t="s">
        <v>927</v>
      </c>
      <c r="D21" s="728" t="s">
        <v>512</v>
      </c>
      <c r="E21" s="625" t="s">
        <v>928</v>
      </c>
    </row>
    <row r="22" spans="1:45" ht="15" x14ac:dyDescent="0.25">
      <c r="A22" s="1">
        <v>2018</v>
      </c>
      <c r="B22" s="726">
        <f>ProjectCost!D65</f>
        <v>0</v>
      </c>
      <c r="C22" s="726">
        <f>ProjectCost!E65</f>
        <v>0</v>
      </c>
      <c r="D22" s="726">
        <f>B22+C22</f>
        <v>0</v>
      </c>
      <c r="E22" s="726">
        <f>ProjectCost!Q65</f>
        <v>0</v>
      </c>
    </row>
    <row r="23" spans="1:45" ht="15" x14ac:dyDescent="0.25">
      <c r="A23" s="1">
        <v>2019</v>
      </c>
      <c r="B23" s="726">
        <f>ProjectCost!D66</f>
        <v>157925000</v>
      </c>
      <c r="C23" s="726">
        <f>ProjectCost!E66</f>
        <v>0</v>
      </c>
      <c r="D23" s="726">
        <f t="shared" ref="D23:D47" si="0">B23+C23</f>
        <v>157925000</v>
      </c>
      <c r="E23" s="726">
        <f>ProjectCost!Q66</f>
        <v>0</v>
      </c>
    </row>
    <row r="24" spans="1:45" ht="15" x14ac:dyDescent="0.25">
      <c r="A24" s="1">
        <v>2020</v>
      </c>
      <c r="B24" s="726">
        <f>ProjectCost!D67</f>
        <v>157925000</v>
      </c>
      <c r="C24" s="726">
        <f>ProjectCost!E67</f>
        <v>0</v>
      </c>
      <c r="D24" s="726">
        <f t="shared" si="0"/>
        <v>157925000</v>
      </c>
      <c r="E24" s="726">
        <f>ProjectCost!Q67</f>
        <v>0</v>
      </c>
      <c r="R24" s="813" t="s">
        <v>617</v>
      </c>
      <c r="S24" s="813">
        <v>646700000</v>
      </c>
    </row>
    <row r="25" spans="1:45" ht="15" x14ac:dyDescent="0.25">
      <c r="A25" s="1">
        <v>2021</v>
      </c>
      <c r="B25" s="726">
        <f>ProjectCost!D68</f>
        <v>157925000</v>
      </c>
      <c r="C25" s="726">
        <f>ProjectCost!E68</f>
        <v>0</v>
      </c>
      <c r="D25" s="726">
        <f t="shared" si="0"/>
        <v>157925000</v>
      </c>
      <c r="E25" s="726">
        <f>ProjectCost!Q68</f>
        <v>0</v>
      </c>
    </row>
    <row r="26" spans="1:45" ht="15" x14ac:dyDescent="0.25">
      <c r="A26" s="1">
        <v>2022</v>
      </c>
      <c r="B26" s="726">
        <f>ProjectCost!D69</f>
        <v>157925000</v>
      </c>
      <c r="C26" s="726">
        <f>ProjectCost!E69</f>
        <v>0</v>
      </c>
      <c r="D26" s="726">
        <f t="shared" si="0"/>
        <v>157925000</v>
      </c>
      <c r="E26" s="726">
        <f>ProjectCost!Q69</f>
        <v>45963428.75</v>
      </c>
    </row>
    <row r="27" spans="1:45" ht="15" x14ac:dyDescent="0.25">
      <c r="A27" s="1">
        <v>2023</v>
      </c>
      <c r="B27" s="726">
        <f>ProjectCost!D70</f>
        <v>0</v>
      </c>
      <c r="C27" s="726">
        <f>ProjectCost!E70</f>
        <v>0</v>
      </c>
      <c r="D27" s="726">
        <f t="shared" si="0"/>
        <v>0</v>
      </c>
      <c r="E27" s="726">
        <f>ProjectCost!Q70</f>
        <v>45963428.75</v>
      </c>
    </row>
    <row r="28" spans="1:45" ht="14.4" x14ac:dyDescent="0.3">
      <c r="A28" s="1">
        <v>2024</v>
      </c>
      <c r="B28" s="726">
        <f>ProjectCost!D71</f>
        <v>0</v>
      </c>
      <c r="C28" s="726">
        <f>ProjectCost!E71</f>
        <v>0</v>
      </c>
      <c r="D28" s="726">
        <f t="shared" si="0"/>
        <v>0</v>
      </c>
      <c r="E28" s="726">
        <f>ProjectCost!Q71</f>
        <v>0</v>
      </c>
    </row>
    <row r="29" spans="1:45" ht="14.4" x14ac:dyDescent="0.3">
      <c r="A29" s="1">
        <v>2025</v>
      </c>
      <c r="B29" s="726">
        <f>ProjectCost!D72</f>
        <v>0</v>
      </c>
      <c r="C29" s="726">
        <f>ProjectCost!E72</f>
        <v>0</v>
      </c>
      <c r="D29" s="726">
        <f t="shared" si="0"/>
        <v>0</v>
      </c>
      <c r="E29" s="726">
        <f>ProjectCost!Q72</f>
        <v>0</v>
      </c>
    </row>
    <row r="30" spans="1:45" ht="14.4" x14ac:dyDescent="0.3">
      <c r="A30" s="1">
        <v>2026</v>
      </c>
      <c r="B30" s="726">
        <f>ProjectCost!D73</f>
        <v>0</v>
      </c>
      <c r="C30" s="726">
        <f>ProjectCost!E73</f>
        <v>0</v>
      </c>
      <c r="D30" s="726">
        <f t="shared" si="0"/>
        <v>0</v>
      </c>
      <c r="E30" s="726">
        <f>ProjectCost!Q73</f>
        <v>23120253</v>
      </c>
    </row>
    <row r="31" spans="1:45" ht="14.4" x14ac:dyDescent="0.3">
      <c r="A31" s="1">
        <v>2027</v>
      </c>
      <c r="B31" s="726">
        <f>ProjectCost!D74</f>
        <v>0</v>
      </c>
      <c r="C31" s="726">
        <f>ProjectCost!E74</f>
        <v>0</v>
      </c>
      <c r="D31" s="726">
        <f t="shared" si="0"/>
        <v>0</v>
      </c>
      <c r="E31" s="726">
        <f>ProjectCost!Q74</f>
        <v>0</v>
      </c>
    </row>
    <row r="32" spans="1:45" ht="14.4" x14ac:dyDescent="0.3">
      <c r="A32" s="1">
        <v>2028</v>
      </c>
      <c r="B32" s="726">
        <f>ProjectCost!D75</f>
        <v>0</v>
      </c>
      <c r="C32" s="726">
        <f>ProjectCost!E75</f>
        <v>0</v>
      </c>
      <c r="D32" s="726">
        <f t="shared" si="0"/>
        <v>0</v>
      </c>
      <c r="E32" s="726">
        <f>ProjectCost!Q75</f>
        <v>0</v>
      </c>
    </row>
    <row r="33" spans="1:5" ht="14.4" x14ac:dyDescent="0.3">
      <c r="A33" s="1">
        <v>2029</v>
      </c>
      <c r="B33" s="726">
        <f>ProjectCost!D76</f>
        <v>0</v>
      </c>
      <c r="C33" s="726">
        <f>ProjectCost!E76</f>
        <v>8365202.9944582647</v>
      </c>
      <c r="D33" s="726">
        <f t="shared" si="0"/>
        <v>8365202.9944582647</v>
      </c>
      <c r="E33" s="726">
        <f>ProjectCost!Q76</f>
        <v>0</v>
      </c>
    </row>
    <row r="34" spans="1:5" ht="14.4" x14ac:dyDescent="0.3">
      <c r="A34" s="1">
        <v>2030</v>
      </c>
      <c r="B34" s="726">
        <f>ProjectCost!D77</f>
        <v>0</v>
      </c>
      <c r="C34" s="726">
        <f>ProjectCost!E77</f>
        <v>0</v>
      </c>
      <c r="D34" s="726">
        <f t="shared" si="0"/>
        <v>0</v>
      </c>
      <c r="E34" s="726">
        <f>ProjectCost!Q77</f>
        <v>26636000</v>
      </c>
    </row>
    <row r="35" spans="1:5" ht="14.4" x14ac:dyDescent="0.3">
      <c r="A35" s="1">
        <v>2031</v>
      </c>
      <c r="B35" s="726">
        <f>ProjectCost!D78</f>
        <v>0</v>
      </c>
      <c r="C35" s="726">
        <f>ProjectCost!E78</f>
        <v>0</v>
      </c>
      <c r="D35" s="726">
        <f t="shared" si="0"/>
        <v>0</v>
      </c>
      <c r="E35" s="726">
        <f>ProjectCost!Q78</f>
        <v>26636000</v>
      </c>
    </row>
    <row r="36" spans="1:5" ht="14.4" x14ac:dyDescent="0.3">
      <c r="A36" s="1">
        <v>2032</v>
      </c>
      <c r="B36" s="726">
        <f>ProjectCost!D79</f>
        <v>0</v>
      </c>
      <c r="C36" s="726">
        <f>ProjectCost!E79</f>
        <v>0</v>
      </c>
      <c r="D36" s="726">
        <f t="shared" si="0"/>
        <v>0</v>
      </c>
      <c r="E36" s="726">
        <f>ProjectCost!Q79</f>
        <v>0</v>
      </c>
    </row>
    <row r="37" spans="1:5" ht="14.4" x14ac:dyDescent="0.3">
      <c r="A37" s="1">
        <v>2033</v>
      </c>
      <c r="B37" s="726">
        <f>ProjectCost!D80</f>
        <v>0</v>
      </c>
      <c r="C37" s="726">
        <f>ProjectCost!E80</f>
        <v>0</v>
      </c>
      <c r="D37" s="726">
        <f t="shared" si="0"/>
        <v>0</v>
      </c>
      <c r="E37" s="726">
        <f>ProjectCost!Q80</f>
        <v>0</v>
      </c>
    </row>
    <row r="38" spans="1:5" ht="14.4" x14ac:dyDescent="0.3">
      <c r="A38" s="1">
        <v>2034</v>
      </c>
      <c r="B38" s="726">
        <f>ProjectCost!D81</f>
        <v>0</v>
      </c>
      <c r="C38" s="726">
        <f>ProjectCost!E81</f>
        <v>0</v>
      </c>
      <c r="D38" s="726">
        <f t="shared" si="0"/>
        <v>0</v>
      </c>
      <c r="E38" s="726">
        <f>ProjectCost!Q81</f>
        <v>0</v>
      </c>
    </row>
    <row r="39" spans="1:5" ht="14.4" x14ac:dyDescent="0.3">
      <c r="A39" s="1">
        <v>2035</v>
      </c>
      <c r="B39" s="726">
        <f>ProjectCost!D82</f>
        <v>0</v>
      </c>
      <c r="C39" s="726">
        <f>ProjectCost!E82</f>
        <v>0</v>
      </c>
      <c r="D39" s="726">
        <f t="shared" si="0"/>
        <v>0</v>
      </c>
      <c r="E39" s="726">
        <f>ProjectCost!Q82</f>
        <v>0</v>
      </c>
    </row>
    <row r="40" spans="1:5" ht="14.4" x14ac:dyDescent="0.3">
      <c r="A40" s="1">
        <v>2036</v>
      </c>
      <c r="B40" s="726">
        <f>ProjectCost!D83</f>
        <v>0</v>
      </c>
      <c r="C40" s="726">
        <f>ProjectCost!E83</f>
        <v>8365202.9944582647</v>
      </c>
      <c r="D40" s="726">
        <f t="shared" si="0"/>
        <v>8365202.9944582647</v>
      </c>
      <c r="E40" s="726">
        <f>ProjectCost!Q83</f>
        <v>12001664.974259999</v>
      </c>
    </row>
    <row r="41" spans="1:5" ht="14.4" x14ac:dyDescent="0.3">
      <c r="A41" s="1">
        <v>2037</v>
      </c>
      <c r="B41" s="726">
        <f>ProjectCost!D84</f>
        <v>0</v>
      </c>
      <c r="C41" s="726">
        <f>ProjectCost!E84</f>
        <v>0</v>
      </c>
      <c r="D41" s="726">
        <f t="shared" si="0"/>
        <v>0</v>
      </c>
      <c r="E41" s="726">
        <f>ProjectCost!Q84</f>
        <v>12001664.974259999</v>
      </c>
    </row>
    <row r="42" spans="1:5" ht="14.4" x14ac:dyDescent="0.3">
      <c r="A42" s="1">
        <v>2038</v>
      </c>
      <c r="B42" s="726">
        <f>ProjectCost!D85</f>
        <v>0</v>
      </c>
      <c r="C42" s="726">
        <f>ProjectCost!E85</f>
        <v>0</v>
      </c>
      <c r="D42" s="726">
        <f t="shared" si="0"/>
        <v>0</v>
      </c>
      <c r="E42" s="726">
        <f>ProjectCost!Q85</f>
        <v>0</v>
      </c>
    </row>
    <row r="43" spans="1:5" ht="14.4" x14ac:dyDescent="0.3">
      <c r="A43" s="1">
        <v>2039</v>
      </c>
      <c r="B43" s="726">
        <f>ProjectCost!D86</f>
        <v>0</v>
      </c>
      <c r="C43" s="726">
        <f>ProjectCost!E86</f>
        <v>0</v>
      </c>
      <c r="D43" s="726">
        <f t="shared" si="0"/>
        <v>0</v>
      </c>
      <c r="E43" s="726">
        <f>ProjectCost!Q86</f>
        <v>0</v>
      </c>
    </row>
    <row r="44" spans="1:5" ht="14.4" x14ac:dyDescent="0.3">
      <c r="A44" s="1">
        <v>2040</v>
      </c>
      <c r="B44" s="726">
        <f>ProjectCost!D87</f>
        <v>0</v>
      </c>
      <c r="C44" s="726">
        <f>ProjectCost!E87</f>
        <v>0</v>
      </c>
      <c r="D44" s="726">
        <f t="shared" si="0"/>
        <v>0</v>
      </c>
      <c r="E44" s="726">
        <f>ProjectCost!Q87</f>
        <v>0</v>
      </c>
    </row>
    <row r="45" spans="1:5" ht="14.4" x14ac:dyDescent="0.3">
      <c r="A45" s="1">
        <v>2041</v>
      </c>
      <c r="B45" s="726">
        <f>ProjectCost!D88</f>
        <v>0</v>
      </c>
      <c r="C45" s="726">
        <f>ProjectCost!E88</f>
        <v>0</v>
      </c>
      <c r="D45" s="726">
        <f t="shared" si="0"/>
        <v>0</v>
      </c>
      <c r="E45" s="726">
        <f>ProjectCost!Q88</f>
        <v>0</v>
      </c>
    </row>
    <row r="46" spans="1:5" ht="14.4" x14ac:dyDescent="0.3">
      <c r="A46" s="1">
        <v>2042</v>
      </c>
      <c r="B46" s="726">
        <f>ProjectCost!D89</f>
        <v>0</v>
      </c>
      <c r="C46" s="726">
        <f>ProjectCost!E89</f>
        <v>0</v>
      </c>
      <c r="D46" s="726">
        <f t="shared" si="0"/>
        <v>0</v>
      </c>
      <c r="E46" s="726">
        <f>ProjectCost!Q89</f>
        <v>0</v>
      </c>
    </row>
    <row r="47" spans="1:5" ht="14.4" x14ac:dyDescent="0.3">
      <c r="A47" s="1">
        <v>2043</v>
      </c>
      <c r="B47" s="726">
        <f>ProjectCost!D90</f>
        <v>0</v>
      </c>
      <c r="C47" s="726">
        <f>ProjectCost!E90</f>
        <v>8365202.9944582647</v>
      </c>
      <c r="D47" s="726">
        <f t="shared" si="0"/>
        <v>8365202.9944582647</v>
      </c>
      <c r="E47" s="726">
        <f>ProjectCost!Q90</f>
        <v>0</v>
      </c>
    </row>
    <row r="48" spans="1:5" ht="14.4" x14ac:dyDescent="0.3">
      <c r="B48" s="727">
        <f>SUM(B22:B44)</f>
        <v>631700000</v>
      </c>
      <c r="C48" s="727">
        <f>SUM(C22:C47)</f>
        <v>25095608.983374793</v>
      </c>
      <c r="D48" s="727">
        <f>SUM(D22:D47)</f>
        <v>656795608.98337495</v>
      </c>
      <c r="E48" s="727">
        <f>SUM(E22:E47)</f>
        <v>192322440.44852</v>
      </c>
    </row>
    <row r="51" spans="5:5" x14ac:dyDescent="0.3">
      <c r="E51" s="62">
        <f>E48/C10</f>
        <v>2500.9420084332901</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AD70"/>
  <sheetViews>
    <sheetView topLeftCell="A7" zoomScale="55" zoomScaleNormal="55" workbookViewId="0">
      <selection activeCell="E43" sqref="E43:H43"/>
    </sheetView>
  </sheetViews>
  <sheetFormatPr defaultColWidth="9.109375" defaultRowHeight="13.8" x14ac:dyDescent="0.25"/>
  <cols>
    <col min="1" max="1" width="3.33203125" style="895" customWidth="1"/>
    <col min="2" max="2" width="53.44140625" style="895" customWidth="1"/>
    <col min="3" max="3" width="11.44140625" style="895" customWidth="1"/>
    <col min="4" max="4" width="9.109375" style="895"/>
    <col min="5" max="5" width="16.33203125" style="895" customWidth="1"/>
    <col min="6" max="6" width="18.109375" style="895" bestFit="1" customWidth="1"/>
    <col min="7" max="7" width="18.6640625" style="895" bestFit="1" customWidth="1"/>
    <col min="8" max="8" width="16.44140625" style="895" bestFit="1" customWidth="1"/>
    <col min="9" max="10" width="20.6640625" style="895" bestFit="1" customWidth="1"/>
    <col min="11" max="11" width="16.44140625" style="895" customWidth="1"/>
    <col min="12" max="12" width="15.88671875" style="895" bestFit="1" customWidth="1"/>
    <col min="13" max="13" width="15" style="895" bestFit="1" customWidth="1"/>
    <col min="14" max="14" width="18.109375" style="895" bestFit="1" customWidth="1"/>
    <col min="15" max="15" width="19.88671875" style="895" customWidth="1"/>
    <col min="16" max="17" width="15.44140625" style="895" bestFit="1" customWidth="1"/>
    <col min="18" max="18" width="15.88671875" style="895" bestFit="1" customWidth="1"/>
    <col min="19" max="20" width="15.44140625" style="895" bestFit="1" customWidth="1"/>
    <col min="21" max="21" width="15" style="895" bestFit="1" customWidth="1"/>
    <col min="22" max="22" width="14.5546875" style="895" bestFit="1" customWidth="1"/>
    <col min="23" max="23" width="15.88671875" style="895" bestFit="1" customWidth="1"/>
    <col min="24" max="24" width="16.44140625" style="895" bestFit="1" customWidth="1"/>
    <col min="25" max="25" width="15.44140625" style="895" bestFit="1" customWidth="1"/>
    <col min="26" max="16384" width="9.109375" style="895"/>
  </cols>
  <sheetData>
    <row r="2" spans="2:25" ht="20.25" x14ac:dyDescent="0.2">
      <c r="B2" s="1569" t="s">
        <v>713</v>
      </c>
      <c r="C2" s="1431"/>
    </row>
    <row r="3" spans="2:25" ht="20.25" x14ac:dyDescent="0.2">
      <c r="B3" s="1569" t="s">
        <v>659</v>
      </c>
      <c r="C3" s="1431"/>
    </row>
    <row r="4" spans="2:25" ht="25.5" customHeight="1" x14ac:dyDescent="0.2">
      <c r="D4" s="949"/>
      <c r="E4" s="949"/>
      <c r="F4" s="949"/>
      <c r="G4" s="949"/>
      <c r="H4" s="950"/>
      <c r="I4" s="950"/>
      <c r="J4" s="950"/>
      <c r="K4" s="950"/>
      <c r="L4" s="950"/>
      <c r="M4" s="950"/>
      <c r="N4" s="950"/>
      <c r="O4" s="950"/>
      <c r="P4" s="950"/>
      <c r="Q4" s="950"/>
      <c r="R4" s="950"/>
      <c r="S4" s="950"/>
      <c r="T4" s="950"/>
      <c r="U4" s="950"/>
      <c r="V4" s="950"/>
      <c r="W4" s="950"/>
      <c r="X4" s="950"/>
      <c r="Y4" s="950"/>
    </row>
    <row r="5" spans="2:25" ht="20.100000000000001" customHeight="1" x14ac:dyDescent="0.2">
      <c r="B5" s="951" t="s">
        <v>667</v>
      </c>
      <c r="C5" s="952">
        <v>0.27</v>
      </c>
      <c r="D5" s="949"/>
      <c r="E5" s="949"/>
      <c r="F5" s="949"/>
      <c r="G5" s="949"/>
      <c r="H5" s="950"/>
      <c r="I5" s="950"/>
      <c r="J5" s="950"/>
      <c r="K5" s="950"/>
      <c r="L5" s="950"/>
      <c r="M5" s="950"/>
      <c r="N5" s="950"/>
      <c r="O5" s="950"/>
      <c r="P5" s="950"/>
      <c r="Q5" s="950"/>
      <c r="R5" s="950"/>
      <c r="S5" s="950"/>
      <c r="T5" s="950"/>
      <c r="U5" s="950"/>
      <c r="V5" s="950"/>
      <c r="W5" s="950"/>
      <c r="X5" s="950"/>
      <c r="Y5" s="950"/>
    </row>
    <row r="6" spans="2:25" ht="15" x14ac:dyDescent="0.2">
      <c r="B6" s="947" t="s">
        <v>719</v>
      </c>
      <c r="C6" s="1009">
        <v>0.58599999999999997</v>
      </c>
    </row>
    <row r="7" spans="2:25" ht="15" x14ac:dyDescent="0.2">
      <c r="B7" s="947" t="s">
        <v>720</v>
      </c>
      <c r="C7" s="952">
        <f>Tourism_Inputs!B56</f>
        <v>3.9049297725427291E-2</v>
      </c>
    </row>
    <row r="8" spans="2:25" ht="15" x14ac:dyDescent="0.2">
      <c r="B8" s="947" t="s">
        <v>721</v>
      </c>
      <c r="C8" s="952">
        <f>Tourism_Inputs!B57</f>
        <v>1.7628214564562972E-2</v>
      </c>
    </row>
    <row r="9" spans="2:25" ht="15" x14ac:dyDescent="0.2">
      <c r="B9" s="947" t="s">
        <v>1034</v>
      </c>
      <c r="C9" s="953">
        <v>65</v>
      </c>
    </row>
    <row r="10" spans="2:25" ht="15.75" thickBot="1" x14ac:dyDescent="0.25">
      <c r="B10" s="678"/>
      <c r="C10" s="1723"/>
    </row>
    <row r="11" spans="2:25" ht="21" thickBot="1" x14ac:dyDescent="0.25">
      <c r="B11" s="1724" t="s">
        <v>1035</v>
      </c>
      <c r="C11" s="1732"/>
      <c r="D11" s="1725"/>
      <c r="E11" s="712">
        <v>2023</v>
      </c>
      <c r="F11" s="417">
        <f>E11+1</f>
        <v>2024</v>
      </c>
      <c r="G11" s="417">
        <f t="shared" ref="G11" si="0">F11+1</f>
        <v>2025</v>
      </c>
      <c r="H11" s="417">
        <f t="shared" ref="H11" si="1">G11+1</f>
        <v>2026</v>
      </c>
      <c r="I11" s="417">
        <f t="shared" ref="I11" si="2">H11+1</f>
        <v>2027</v>
      </c>
      <c r="J11" s="417">
        <f t="shared" ref="J11" si="3">I11+1</f>
        <v>2028</v>
      </c>
      <c r="K11" s="417">
        <f t="shared" ref="K11" si="4">J11+1</f>
        <v>2029</v>
      </c>
      <c r="L11" s="417">
        <f t="shared" ref="L11" si="5">K11+1</f>
        <v>2030</v>
      </c>
      <c r="M11" s="417">
        <f t="shared" ref="M11" si="6">L11+1</f>
        <v>2031</v>
      </c>
      <c r="N11" s="417">
        <f t="shared" ref="N11" si="7">M11+1</f>
        <v>2032</v>
      </c>
      <c r="O11" s="417">
        <f t="shared" ref="O11" si="8">N11+1</f>
        <v>2033</v>
      </c>
      <c r="P11" s="417">
        <f t="shared" ref="P11" si="9">O11+1</f>
        <v>2034</v>
      </c>
      <c r="Q11" s="417">
        <f t="shared" ref="Q11" si="10">P11+1</f>
        <v>2035</v>
      </c>
      <c r="R11" s="417">
        <f t="shared" ref="R11" si="11">Q11+1</f>
        <v>2036</v>
      </c>
      <c r="S11" s="417">
        <f t="shared" ref="S11" si="12">R11+1</f>
        <v>2037</v>
      </c>
      <c r="T11" s="417">
        <f t="shared" ref="T11" si="13">S11+1</f>
        <v>2038</v>
      </c>
      <c r="U11" s="417">
        <f t="shared" ref="U11" si="14">T11+1</f>
        <v>2039</v>
      </c>
      <c r="V11" s="417">
        <f t="shared" ref="V11" si="15">U11+1</f>
        <v>2040</v>
      </c>
      <c r="W11" s="417">
        <f t="shared" ref="W11" si="16">V11+1</f>
        <v>2041</v>
      </c>
      <c r="X11" s="417">
        <f t="shared" ref="X11" si="17">W11+1</f>
        <v>2042</v>
      </c>
      <c r="Y11" s="713">
        <f t="shared" ref="Y11" si="18">X11+1</f>
        <v>2043</v>
      </c>
    </row>
    <row r="12" spans="2:25" s="678" customFormat="1" ht="15" x14ac:dyDescent="0.2">
      <c r="B12" s="999" t="s">
        <v>1037</v>
      </c>
      <c r="E12" s="1731">
        <f>$C$9</f>
        <v>65</v>
      </c>
      <c r="F12" s="1731">
        <f t="shared" ref="F12:Y12" si="19">$C$9</f>
        <v>65</v>
      </c>
      <c r="G12" s="1731">
        <f t="shared" si="19"/>
        <v>65</v>
      </c>
      <c r="H12" s="1731">
        <f t="shared" si="19"/>
        <v>65</v>
      </c>
      <c r="I12" s="1731">
        <f t="shared" si="19"/>
        <v>65</v>
      </c>
      <c r="J12" s="1731">
        <f t="shared" si="19"/>
        <v>65</v>
      </c>
      <c r="K12" s="1731">
        <f t="shared" si="19"/>
        <v>65</v>
      </c>
      <c r="L12" s="1731">
        <f t="shared" si="19"/>
        <v>65</v>
      </c>
      <c r="M12" s="1731">
        <f t="shared" si="19"/>
        <v>65</v>
      </c>
      <c r="N12" s="1731">
        <f t="shared" si="19"/>
        <v>65</v>
      </c>
      <c r="O12" s="1731">
        <f t="shared" si="19"/>
        <v>65</v>
      </c>
      <c r="P12" s="1731">
        <f t="shared" si="19"/>
        <v>65</v>
      </c>
      <c r="Q12" s="1731">
        <f t="shared" si="19"/>
        <v>65</v>
      </c>
      <c r="R12" s="1731">
        <f t="shared" si="19"/>
        <v>65</v>
      </c>
      <c r="S12" s="1731">
        <f t="shared" si="19"/>
        <v>65</v>
      </c>
      <c r="T12" s="1731">
        <f t="shared" si="19"/>
        <v>65</v>
      </c>
      <c r="U12" s="1731">
        <f t="shared" si="19"/>
        <v>65</v>
      </c>
      <c r="V12" s="1731">
        <f t="shared" si="19"/>
        <v>65</v>
      </c>
      <c r="W12" s="1731">
        <f t="shared" si="19"/>
        <v>65</v>
      </c>
      <c r="X12" s="1731">
        <f t="shared" si="19"/>
        <v>65</v>
      </c>
      <c r="Y12" s="1733">
        <f t="shared" si="19"/>
        <v>65</v>
      </c>
    </row>
    <row r="13" spans="2:25" ht="15" x14ac:dyDescent="0.2">
      <c r="B13" s="999" t="s">
        <v>1038</v>
      </c>
      <c r="C13" s="949"/>
      <c r="D13" s="949"/>
      <c r="E13" s="1731">
        <f>$C$9*(1+$C$14)^(E11-2016)</f>
        <v>75.112872812592386</v>
      </c>
      <c r="F13" s="1731">
        <f t="shared" ref="F13:Y13" si="20">E13*(1+$C$14)</f>
        <v>76.680678370804074</v>
      </c>
      <c r="G13" s="1731">
        <f t="shared" si="20"/>
        <v>78.281208203515178</v>
      </c>
      <c r="H13" s="1731">
        <f t="shared" si="20"/>
        <v>79.915145353425686</v>
      </c>
      <c r="I13" s="1731">
        <f t="shared" si="20"/>
        <v>81.583187120154534</v>
      </c>
      <c r="J13" s="1731">
        <f t="shared" si="20"/>
        <v>83.286045357819475</v>
      </c>
      <c r="K13" s="1731">
        <f t="shared" si="20"/>
        <v>85.024446778828221</v>
      </c>
      <c r="L13" s="1731">
        <f t="shared" si="20"/>
        <v>86.799133264010464</v>
      </c>
      <c r="M13" s="1731">
        <f t="shared" si="20"/>
        <v>88.610862179223233</v>
      </c>
      <c r="N13" s="1731">
        <f t="shared" si="20"/>
        <v>90.460406698564611</v>
      </c>
      <c r="O13" s="1731">
        <f t="shared" si="20"/>
        <v>92.348556134333805</v>
      </c>
      <c r="P13" s="1731">
        <f t="shared" si="20"/>
        <v>94.276116273878358</v>
      </c>
      <c r="Q13" s="1731">
        <f t="shared" si="20"/>
        <v>96.243909723472242</v>
      </c>
      <c r="R13" s="1731">
        <f t="shared" si="20"/>
        <v>98.252776259371629</v>
      </c>
      <c r="S13" s="1731">
        <f t="shared" si="20"/>
        <v>100.30357318619809</v>
      </c>
      <c r="T13" s="1731">
        <f t="shared" si="20"/>
        <v>102.39717570280229</v>
      </c>
      <c r="U13" s="1731">
        <f t="shared" si="20"/>
        <v>104.53447727576408</v>
      </c>
      <c r="V13" s="1731">
        <f t="shared" si="20"/>
        <v>106.71639002068868</v>
      </c>
      <c r="W13" s="1731">
        <f t="shared" si="20"/>
        <v>108.94384509146148</v>
      </c>
      <c r="X13" s="1731">
        <f t="shared" si="20"/>
        <v>111.2177930776276</v>
      </c>
      <c r="Y13" s="1733">
        <f t="shared" si="20"/>
        <v>113.53920441006581</v>
      </c>
    </row>
    <row r="14" spans="2:25" ht="15" thickBot="1" x14ac:dyDescent="0.25">
      <c r="B14" s="1727" t="s">
        <v>1036</v>
      </c>
      <c r="C14" s="1728">
        <f>'CPI Factors'!D35</f>
        <v>2.0872661362898226E-2</v>
      </c>
      <c r="D14" s="1729"/>
      <c r="E14" s="1729"/>
      <c r="F14" s="1729"/>
      <c r="G14" s="1729"/>
      <c r="H14" s="1729"/>
      <c r="I14" s="1729"/>
      <c r="J14" s="1729"/>
      <c r="K14" s="1729"/>
      <c r="L14" s="1729"/>
      <c r="M14" s="1729"/>
      <c r="N14" s="1729"/>
      <c r="O14" s="1729"/>
      <c r="P14" s="1729"/>
      <c r="Q14" s="1729"/>
      <c r="R14" s="1729"/>
      <c r="S14" s="1729"/>
      <c r="T14" s="1729"/>
      <c r="U14" s="1729"/>
      <c r="V14" s="1729"/>
      <c r="W14" s="1729"/>
      <c r="X14" s="1729"/>
      <c r="Y14" s="1730"/>
    </row>
    <row r="15" spans="2:25" ht="15" thickBot="1" x14ac:dyDescent="0.25"/>
    <row r="16" spans="2:25" ht="21" thickBot="1" x14ac:dyDescent="0.25">
      <c r="B16" s="954"/>
      <c r="C16" s="955"/>
      <c r="D16" s="956"/>
      <c r="E16" s="1818" t="s">
        <v>669</v>
      </c>
      <c r="F16" s="1819"/>
      <c r="G16" s="1819"/>
      <c r="H16" s="1819"/>
      <c r="I16" s="1819"/>
      <c r="J16" s="1819"/>
      <c r="K16" s="1819"/>
      <c r="L16" s="1819"/>
      <c r="M16" s="1819"/>
      <c r="N16" s="1819"/>
      <c r="O16" s="1819"/>
      <c r="P16" s="1819"/>
      <c r="Q16" s="1819"/>
      <c r="R16" s="1819"/>
      <c r="S16" s="1819"/>
      <c r="T16" s="1819"/>
      <c r="U16" s="1819"/>
      <c r="V16" s="1819"/>
      <c r="W16" s="1819"/>
      <c r="X16" s="1819"/>
      <c r="Y16" s="1820"/>
    </row>
    <row r="17" spans="2:25" ht="15" thickBot="1" x14ac:dyDescent="0.25">
      <c r="B17" s="957"/>
      <c r="C17" s="958"/>
      <c r="D17" s="959"/>
      <c r="E17" s="719">
        <v>2023</v>
      </c>
      <c r="F17" s="717">
        <f>E17+1</f>
        <v>2024</v>
      </c>
      <c r="G17" s="717">
        <f t="shared" ref="G17:Y17" si="21">F17+1</f>
        <v>2025</v>
      </c>
      <c r="H17" s="717">
        <f t="shared" si="21"/>
        <v>2026</v>
      </c>
      <c r="I17" s="717">
        <f t="shared" si="21"/>
        <v>2027</v>
      </c>
      <c r="J17" s="717">
        <f t="shared" si="21"/>
        <v>2028</v>
      </c>
      <c r="K17" s="717">
        <f t="shared" si="21"/>
        <v>2029</v>
      </c>
      <c r="L17" s="717">
        <f t="shared" si="21"/>
        <v>2030</v>
      </c>
      <c r="M17" s="717">
        <f t="shared" si="21"/>
        <v>2031</v>
      </c>
      <c r="N17" s="717">
        <f t="shared" si="21"/>
        <v>2032</v>
      </c>
      <c r="O17" s="717">
        <f t="shared" si="21"/>
        <v>2033</v>
      </c>
      <c r="P17" s="717">
        <f t="shared" si="21"/>
        <v>2034</v>
      </c>
      <c r="Q17" s="717">
        <f t="shared" si="21"/>
        <v>2035</v>
      </c>
      <c r="R17" s="717">
        <f t="shared" si="21"/>
        <v>2036</v>
      </c>
      <c r="S17" s="717">
        <f t="shared" si="21"/>
        <v>2037</v>
      </c>
      <c r="T17" s="717">
        <f t="shared" si="21"/>
        <v>2038</v>
      </c>
      <c r="U17" s="717">
        <f t="shared" si="21"/>
        <v>2039</v>
      </c>
      <c r="V17" s="717">
        <f t="shared" si="21"/>
        <v>2040</v>
      </c>
      <c r="W17" s="717">
        <f t="shared" si="21"/>
        <v>2041</v>
      </c>
      <c r="X17" s="717">
        <f t="shared" si="21"/>
        <v>2042</v>
      </c>
      <c r="Y17" s="718">
        <f t="shared" si="21"/>
        <v>2043</v>
      </c>
    </row>
    <row r="18" spans="2:25" ht="20.25" x14ac:dyDescent="0.2">
      <c r="B18" s="960" t="s">
        <v>726</v>
      </c>
      <c r="C18" s="601"/>
      <c r="D18" s="601"/>
      <c r="E18" s="1059"/>
      <c r="F18" s="1060"/>
      <c r="G18" s="1060"/>
      <c r="H18" s="1060"/>
      <c r="I18" s="1060"/>
      <c r="J18" s="1060"/>
      <c r="K18" s="1060"/>
      <c r="L18" s="1060"/>
      <c r="M18" s="1060"/>
      <c r="N18" s="1060"/>
      <c r="O18" s="1060"/>
      <c r="P18" s="1060"/>
      <c r="Q18" s="1060"/>
      <c r="R18" s="1060"/>
      <c r="S18" s="1060"/>
      <c r="T18" s="1060"/>
      <c r="U18" s="1060"/>
      <c r="V18" s="1060"/>
      <c r="W18" s="1060"/>
      <c r="X18" s="1060"/>
      <c r="Y18" s="1061"/>
    </row>
    <row r="19" spans="2:25" ht="27.75" customHeight="1" x14ac:dyDescent="0.2">
      <c r="B19" s="999" t="s">
        <v>982</v>
      </c>
      <c r="C19" s="1690" t="s">
        <v>988</v>
      </c>
      <c r="D19" s="601"/>
      <c r="E19" s="1507">
        <f>Tourism_Inputs!B53</f>
        <v>824394.19778446713</v>
      </c>
      <c r="F19" s="1007">
        <f>Tourism_Inputs!C53</f>
        <v>842395.78672896267</v>
      </c>
      <c r="G19" s="1007">
        <f>Tourism_Inputs!D53</f>
        <v>860790.46092975605</v>
      </c>
      <c r="H19" s="1007">
        <f>Tourism_Inputs!E53</f>
        <v>879586.80385240668</v>
      </c>
      <c r="I19" s="1007">
        <f>Tourism_Inputs!F53</f>
        <v>898793.58639224852</v>
      </c>
      <c r="J19" s="1007">
        <f>Tourism_Inputs!G53</f>
        <v>918419.77096713346</v>
      </c>
      <c r="K19" s="1007">
        <f>Tourism_Inputs!H53</f>
        <v>938474.51569954422</v>
      </c>
      <c r="L19" s="1007">
        <f>Tourism_Inputs!I53</f>
        <v>958967.17869002849</v>
      </c>
      <c r="M19" s="1007">
        <f>Tourism_Inputs!J53</f>
        <v>979907.32238394825</v>
      </c>
      <c r="N19" s="1007">
        <f>Tourism_Inputs!K53</f>
        <v>1001304.7180335824</v>
      </c>
      <c r="O19" s="1007">
        <f>Tourism_Inputs!L53</f>
        <v>1023169.3502576645</v>
      </c>
      <c r="P19" s="1007">
        <f>Tourism_Inputs!M53</f>
        <v>1045511.4217004823</v>
      </c>
      <c r="Q19" s="1007">
        <f>Tourism_Inputs!N53</f>
        <v>1068341.3577927153</v>
      </c>
      <c r="R19" s="1007">
        <f>Tourism_Inputs!O53</f>
        <v>1091669.8116162303</v>
      </c>
      <c r="S19" s="1007">
        <f>Tourism_Inputs!P53</f>
        <v>1115507.6688751045</v>
      </c>
      <c r="T19" s="1007">
        <f>Tourism_Inputs!Q53</f>
        <v>1139866.0529751973</v>
      </c>
      <c r="U19" s="1007">
        <f>Tourism_Inputs!R53</f>
        <v>1164756.3302146408</v>
      </c>
      <c r="V19" s="1007">
        <f>Tourism_Inputs!S53</f>
        <v>1190190.1150876693</v>
      </c>
      <c r="W19" s="1007">
        <f>Tourism_Inputs!T53</f>
        <v>1216179.2757042649</v>
      </c>
      <c r="X19" s="1007">
        <f>Tourism_Inputs!U53</f>
        <v>1242735.9393281473</v>
      </c>
      <c r="Y19" s="1008">
        <f>Tourism_Inputs!V53</f>
        <v>1269872.4980356912</v>
      </c>
    </row>
    <row r="20" spans="2:25" ht="27.75" customHeight="1" x14ac:dyDescent="0.25">
      <c r="B20" s="999" t="s">
        <v>983</v>
      </c>
      <c r="C20" s="1691" t="s">
        <v>989</v>
      </c>
      <c r="D20" s="985"/>
      <c r="E20" s="966">
        <f t="shared" ref="E20:Y20" si="22">$C$6*E19</f>
        <v>483094.99990169774</v>
      </c>
      <c r="F20" s="967">
        <f t="shared" si="22"/>
        <v>493643.9310231721</v>
      </c>
      <c r="G20" s="967">
        <f t="shared" si="22"/>
        <v>504423.21010483702</v>
      </c>
      <c r="H20" s="967">
        <f t="shared" si="22"/>
        <v>515437.8670575103</v>
      </c>
      <c r="I20" s="967">
        <f t="shared" si="22"/>
        <v>526693.04162585759</v>
      </c>
      <c r="J20" s="967">
        <f t="shared" si="22"/>
        <v>538193.9857867402</v>
      </c>
      <c r="K20" s="967">
        <f t="shared" si="22"/>
        <v>549946.06619993283</v>
      </c>
      <c r="L20" s="967">
        <f t="shared" si="22"/>
        <v>561954.76671235671</v>
      </c>
      <c r="M20" s="967">
        <f t="shared" si="22"/>
        <v>574225.69091699366</v>
      </c>
      <c r="N20" s="967">
        <f t="shared" si="22"/>
        <v>586764.56476767932</v>
      </c>
      <c r="O20" s="967">
        <f t="shared" si="22"/>
        <v>599577.23925099138</v>
      </c>
      <c r="P20" s="967">
        <f t="shared" si="22"/>
        <v>612669.69311648258</v>
      </c>
      <c r="Q20" s="967">
        <f t="shared" si="22"/>
        <v>626048.03566653118</v>
      </c>
      <c r="R20" s="967">
        <f t="shared" si="22"/>
        <v>639718.50960711087</v>
      </c>
      <c r="S20" s="967">
        <f t="shared" si="22"/>
        <v>653687.49396081117</v>
      </c>
      <c r="T20" s="967">
        <f t="shared" si="22"/>
        <v>667961.50704346562</v>
      </c>
      <c r="U20" s="967">
        <f t="shared" si="22"/>
        <v>682547.20950577944</v>
      </c>
      <c r="V20" s="967">
        <f t="shared" si="22"/>
        <v>697451.40744137415</v>
      </c>
      <c r="W20" s="967">
        <f t="shared" si="22"/>
        <v>712681.05556269921</v>
      </c>
      <c r="X20" s="967">
        <f t="shared" si="22"/>
        <v>728243.26044629433</v>
      </c>
      <c r="Y20" s="968">
        <f t="shared" si="22"/>
        <v>744145.28384891502</v>
      </c>
    </row>
    <row r="21" spans="2:25" ht="27.75" customHeight="1" x14ac:dyDescent="0.2">
      <c r="B21" s="999" t="s">
        <v>987</v>
      </c>
      <c r="C21" s="1691" t="s">
        <v>990</v>
      </c>
      <c r="D21" s="985"/>
      <c r="E21" s="966">
        <f>Tourism_Inputs!B54</f>
        <v>339118.95832701528</v>
      </c>
      <c r="F21" s="967">
        <f>Tourism_Inputs!C54</f>
        <v>346524.00812903303</v>
      </c>
      <c r="G21" s="967">
        <f>Tourism_Inputs!D54</f>
        <v>354090.75565164082</v>
      </c>
      <c r="H21" s="967">
        <f>Tourism_Inputs!E54</f>
        <v>361822.73174926144</v>
      </c>
      <c r="I21" s="967">
        <f>Tourism_Inputs!F54</f>
        <v>369723.54437655694</v>
      </c>
      <c r="J21" s="967">
        <f>Tourism_Inputs!G54</f>
        <v>377796.88027200045</v>
      </c>
      <c r="K21" s="967">
        <f>Tourism_Inputs!H54</f>
        <v>386046.5066782108</v>
      </c>
      <c r="L21" s="967">
        <f>Tourism_Inputs!I54</f>
        <v>394476.27309985232</v>
      </c>
      <c r="M21" s="967">
        <f>Tourism_Inputs!J54</f>
        <v>403090.11309992062</v>
      </c>
      <c r="N21" s="967">
        <f>Tourism_Inputs!K54</f>
        <v>411892.04613525246</v>
      </c>
      <c r="O21" s="967">
        <f>Tourism_Inputs!L54</f>
        <v>420886.17943211552</v>
      </c>
      <c r="P21" s="967">
        <f>Tourism_Inputs!M54</f>
        <v>430076.70990275446</v>
      </c>
      <c r="Q21" s="967">
        <f>Tourism_Inputs!N54</f>
        <v>439467.92610378662</v>
      </c>
      <c r="R21" s="967">
        <f>Tourism_Inputs!O54</f>
        <v>449064.21023736149</v>
      </c>
      <c r="S21" s="967">
        <f>Tourism_Inputs!P54</f>
        <v>458870.04019601794</v>
      </c>
      <c r="T21" s="967">
        <f>Tourism_Inputs!Q54</f>
        <v>468889.99165219313</v>
      </c>
      <c r="U21" s="967">
        <f>Tourism_Inputs!R54</f>
        <v>479128.74019335827</v>
      </c>
      <c r="V21" s="967">
        <f>Tourism_Inputs!S54</f>
        <v>489591.06350377755</v>
      </c>
      <c r="W21" s="967">
        <f>Tourism_Inputs!T54</f>
        <v>500281.84359390818</v>
      </c>
      <c r="X21" s="967">
        <f>Tourism_Inputs!U54</f>
        <v>511206.06907848205</v>
      </c>
      <c r="Y21" s="968">
        <f>Tourism_Inputs!V54</f>
        <v>522368.83750433184</v>
      </c>
    </row>
    <row r="22" spans="2:25" ht="27.75" customHeight="1" x14ac:dyDescent="0.25">
      <c r="B22" s="999" t="s">
        <v>984</v>
      </c>
      <c r="C22" s="1691" t="s">
        <v>991</v>
      </c>
      <c r="D22" s="985"/>
      <c r="E22" s="966">
        <f>E21*$C$6</f>
        <v>198723.70957963093</v>
      </c>
      <c r="F22" s="967">
        <f t="shared" ref="F22:Y22" si="23">F21*$C$6</f>
        <v>203063.06876361335</v>
      </c>
      <c r="G22" s="967">
        <f t="shared" si="23"/>
        <v>207497.18281186151</v>
      </c>
      <c r="H22" s="967">
        <f t="shared" si="23"/>
        <v>212028.12080506718</v>
      </c>
      <c r="I22" s="967">
        <f t="shared" si="23"/>
        <v>216657.99700466235</v>
      </c>
      <c r="J22" s="967">
        <f t="shared" si="23"/>
        <v>221388.97183939224</v>
      </c>
      <c r="K22" s="967">
        <f t="shared" si="23"/>
        <v>226223.25291343153</v>
      </c>
      <c r="L22" s="967">
        <f t="shared" si="23"/>
        <v>231163.09603651345</v>
      </c>
      <c r="M22" s="967">
        <f t="shared" si="23"/>
        <v>236210.80627655346</v>
      </c>
      <c r="N22" s="967">
        <f t="shared" si="23"/>
        <v>241368.73903525792</v>
      </c>
      <c r="O22" s="967">
        <f t="shared" si="23"/>
        <v>246639.30114721967</v>
      </c>
      <c r="P22" s="967">
        <f t="shared" si="23"/>
        <v>252024.9520030141</v>
      </c>
      <c r="Q22" s="967">
        <f t="shared" si="23"/>
        <v>257528.20469681895</v>
      </c>
      <c r="R22" s="967">
        <f t="shared" si="23"/>
        <v>263151.62719909381</v>
      </c>
      <c r="S22" s="967">
        <f t="shared" si="23"/>
        <v>268897.8435548665</v>
      </c>
      <c r="T22" s="967">
        <f t="shared" si="23"/>
        <v>274769.53510818514</v>
      </c>
      <c r="U22" s="967">
        <f t="shared" si="23"/>
        <v>280769.44175330794</v>
      </c>
      <c r="V22" s="967">
        <f t="shared" si="23"/>
        <v>286900.36321321363</v>
      </c>
      <c r="W22" s="967">
        <f t="shared" si="23"/>
        <v>293165.1603460302</v>
      </c>
      <c r="X22" s="967">
        <f t="shared" si="23"/>
        <v>299566.75647999044</v>
      </c>
      <c r="Y22" s="968">
        <f t="shared" si="23"/>
        <v>306108.13877753844</v>
      </c>
    </row>
    <row r="23" spans="2:25" ht="27.75" customHeight="1" x14ac:dyDescent="0.2">
      <c r="B23" s="1683" t="s">
        <v>986</v>
      </c>
      <c r="C23" s="1691" t="s">
        <v>992</v>
      </c>
      <c r="D23" s="985"/>
      <c r="E23" s="1030">
        <f>E20+E22</f>
        <v>681818.70948132873</v>
      </c>
      <c r="F23" s="1031">
        <f t="shared" ref="F23:Y23" si="24">F20+F22</f>
        <v>696706.99978678545</v>
      </c>
      <c r="G23" s="1031">
        <f t="shared" si="24"/>
        <v>711920.39291669847</v>
      </c>
      <c r="H23" s="1031">
        <f t="shared" si="24"/>
        <v>727465.98786257743</v>
      </c>
      <c r="I23" s="1031">
        <f t="shared" si="24"/>
        <v>743351.03863051999</v>
      </c>
      <c r="J23" s="1031">
        <f t="shared" si="24"/>
        <v>759582.95762613241</v>
      </c>
      <c r="K23" s="1031">
        <f t="shared" si="24"/>
        <v>776169.31911336433</v>
      </c>
      <c r="L23" s="1031">
        <f t="shared" si="24"/>
        <v>793117.86274887016</v>
      </c>
      <c r="M23" s="1031">
        <f t="shared" si="24"/>
        <v>810436.49719354708</v>
      </c>
      <c r="N23" s="1031">
        <f t="shared" si="24"/>
        <v>828133.30380293727</v>
      </c>
      <c r="O23" s="1031">
        <f t="shared" si="24"/>
        <v>846216.54039821099</v>
      </c>
      <c r="P23" s="1031">
        <f t="shared" si="24"/>
        <v>864694.64511949662</v>
      </c>
      <c r="Q23" s="1031">
        <f t="shared" si="24"/>
        <v>883576.24036335014</v>
      </c>
      <c r="R23" s="1031">
        <f t="shared" si="24"/>
        <v>902870.13680620468</v>
      </c>
      <c r="S23" s="1031">
        <f t="shared" si="24"/>
        <v>922585.33751567767</v>
      </c>
      <c r="T23" s="1031">
        <f t="shared" si="24"/>
        <v>942731.04215165076</v>
      </c>
      <c r="U23" s="1031">
        <f t="shared" si="24"/>
        <v>963316.65125908738</v>
      </c>
      <c r="V23" s="1031">
        <f t="shared" si="24"/>
        <v>984351.77065458777</v>
      </c>
      <c r="W23" s="1031">
        <f t="shared" si="24"/>
        <v>1005846.2159087295</v>
      </c>
      <c r="X23" s="1031">
        <f t="shared" si="24"/>
        <v>1027810.0169262848</v>
      </c>
      <c r="Y23" s="1032">
        <f t="shared" si="24"/>
        <v>1050253.4226264535</v>
      </c>
    </row>
    <row r="24" spans="2:25" ht="27.75" customHeight="1" x14ac:dyDescent="0.2">
      <c r="B24" s="1000" t="s">
        <v>993</v>
      </c>
      <c r="C24" s="1691"/>
      <c r="D24" s="958"/>
      <c r="E24" s="1508">
        <f>'Build.vs.No-Build'!F85</f>
        <v>9.6655256740385234E-2</v>
      </c>
      <c r="F24" s="970">
        <f>'Build.vs.No-Build'!G85</f>
        <v>9.970561927881666E-2</v>
      </c>
      <c r="G24" s="970">
        <f>'Build.vs.No-Build'!H85</f>
        <v>0.10285224881740572</v>
      </c>
      <c r="H24" s="970">
        <f>'Build.vs.No-Build'!I85</f>
        <v>0.10609818346562395</v>
      </c>
      <c r="I24" s="970">
        <f>'Build.vs.No-Build'!J85</f>
        <v>0.10944655721324587</v>
      </c>
      <c r="J24" s="970">
        <f>'Build.vs.No-Build'!K85</f>
        <v>0.11290060295625494</v>
      </c>
      <c r="K24" s="970">
        <f>'Build.vs.No-Build'!L85</f>
        <v>0.11646365561824415</v>
      </c>
      <c r="L24" s="970">
        <f>'Build.vs.No-Build'!M85</f>
        <v>0.12013915537032577</v>
      </c>
      <c r="M24" s="970">
        <f>'Build.vs.No-Build'!N85</f>
        <v>0.12393065095265879</v>
      </c>
      <c r="N24" s="970">
        <f>'Build.vs.No-Build'!O85</f>
        <v>0.12784180310080118</v>
      </c>
      <c r="O24" s="970">
        <f>'Build.vs.No-Build'!P85</f>
        <v>0.13187638808019495</v>
      </c>
      <c r="P24" s="970">
        <f>'Build.vs.No-Build'!Q85</f>
        <v>0.13603830133219702</v>
      </c>
      <c r="Q24" s="970">
        <f>'Build.vs.No-Build'!R85</f>
        <v>0.14033156123517543</v>
      </c>
      <c r="R24" s="970">
        <f>'Build.vs.No-Build'!S85</f>
        <v>0.1447603129843032</v>
      </c>
      <c r="S24" s="970">
        <f>'Build.vs.No-Build'!T85</f>
        <v>0.14932883259379512</v>
      </c>
      <c r="T24" s="970">
        <f>'Build.vs.No-Build'!U85</f>
        <v>0.15404153102545207</v>
      </c>
      <c r="U24" s="970">
        <f>'Build.vs.No-Build'!V85</f>
        <v>0.1589029584474986</v>
      </c>
      <c r="V24" s="970">
        <f>'Build.vs.No-Build'!W85</f>
        <v>0.16391780862782665</v>
      </c>
      <c r="W24" s="970">
        <f>'Build.vs.No-Build'!X85</f>
        <v>0.16909092346588575</v>
      </c>
      <c r="X24" s="970">
        <f>'Build.vs.No-Build'!Y85</f>
        <v>0.17442729766759638</v>
      </c>
      <c r="Y24" s="971">
        <f>'Build.vs.No-Build'!Z85</f>
        <v>0.1799320835678003</v>
      </c>
    </row>
    <row r="25" spans="2:25" ht="27.75" customHeight="1" x14ac:dyDescent="0.2">
      <c r="B25" s="1000" t="s">
        <v>994</v>
      </c>
      <c r="C25" s="1691"/>
      <c r="D25" s="958"/>
      <c r="E25" s="1508">
        <f>'Build.vs.No-Build'!F93</f>
        <v>8.78109688821236E-2</v>
      </c>
      <c r="F25" s="970">
        <f>'Build.vs.No-Build'!G93</f>
        <v>8.9002010436245282E-2</v>
      </c>
      <c r="G25" s="970">
        <f>'Build.vs.No-Build'!H93</f>
        <v>9.020920691954841E-2</v>
      </c>
      <c r="H25" s="970">
        <f>'Build.vs.No-Build'!I93</f>
        <v>9.1432777452630357E-2</v>
      </c>
      <c r="I25" s="970">
        <f>'Build.vs.No-Build'!J93</f>
        <v>9.2672944128174367E-2</v>
      </c>
      <c r="J25" s="970">
        <f>'Build.vs.No-Build'!K93</f>
        <v>9.3929932051261975E-2</v>
      </c>
      <c r="K25" s="970">
        <f>'Build.vs.No-Build'!L93</f>
        <v>9.5203969380232331E-2</v>
      </c>
      <c r="L25" s="970">
        <f>'Build.vs.No-Build'!M93</f>
        <v>9.6495287368095553E-2</v>
      </c>
      <c r="M25" s="970">
        <f>'Build.vs.No-Build'!N93</f>
        <v>9.780412040450806E-2</v>
      </c>
      <c r="N25" s="970">
        <f>'Build.vs.No-Build'!O93</f>
        <v>9.9130706058317017E-2</v>
      </c>
      <c r="O25" s="970">
        <f>'Build.vs.No-Build'!P93</f>
        <v>0.10047528512068189</v>
      </c>
      <c r="P25" s="970">
        <f>'Build.vs.No-Build'!Q93</f>
        <v>0.10183810164878102</v>
      </c>
      <c r="Q25" s="970">
        <f>'Build.vs.No-Build'!R93</f>
        <v>0.10321940301011079</v>
      </c>
      <c r="R25" s="970">
        <f>'Build.vs.No-Build'!S93</f>
        <v>0.10461943992738597</v>
      </c>
      <c r="S25" s="970">
        <f>'Build.vs.No-Build'!T93</f>
        <v>0.10603846652404868</v>
      </c>
      <c r="T25" s="970">
        <f>'Build.vs.No-Build'!U93</f>
        <v>0.10747674037039491</v>
      </c>
      <c r="U25" s="970">
        <f>'Build.vs.No-Build'!V93</f>
        <v>0.10893452253032672</v>
      </c>
      <c r="V25" s="970">
        <f>'Build.vs.No-Build'!W93</f>
        <v>0.11041207760873829</v>
      </c>
      <c r="W25" s="970">
        <f>'Build.vs.No-Build'!X93</f>
        <v>0.111909673799545</v>
      </c>
      <c r="X25" s="970">
        <f>'Build.vs.No-Build'!Y93</f>
        <v>0.11342758293436374</v>
      </c>
      <c r="Y25" s="971">
        <f>'Build.vs.No-Build'!Z93</f>
        <v>0.1149660805318537</v>
      </c>
    </row>
    <row r="26" spans="2:25" ht="27.75" customHeight="1" x14ac:dyDescent="0.2">
      <c r="B26" s="1000" t="s">
        <v>727</v>
      </c>
      <c r="C26" s="1691"/>
      <c r="D26" s="958"/>
      <c r="E26" s="1509">
        <f>(E25-E24)/E24</f>
        <v>-9.1503433507163265E-2</v>
      </c>
      <c r="F26" s="972">
        <f t="shared" ref="F26:Y26" si="25">(F25-F24)/F24</f>
        <v>-0.10735211234825009</v>
      </c>
      <c r="G26" s="972">
        <f t="shared" si="25"/>
        <v>-0.12292431175036908</v>
      </c>
      <c r="H26" s="972">
        <f t="shared" si="25"/>
        <v>-0.1382248548840162</v>
      </c>
      <c r="I26" s="972">
        <f t="shared" si="25"/>
        <v>-0.15325848077970841</v>
      </c>
      <c r="J26" s="972">
        <f t="shared" si="25"/>
        <v>-0.16802984579580535</v>
      </c>
      <c r="K26" s="972">
        <f t="shared" si="25"/>
        <v>-0.1825435250607183</v>
      </c>
      <c r="L26" s="972">
        <f t="shared" si="25"/>
        <v>-0.19680401388996466</v>
      </c>
      <c r="M26" s="972">
        <f t="shared" si="25"/>
        <v>-0.21081572917849839</v>
      </c>
      <c r="N26" s="972">
        <f t="shared" si="25"/>
        <v>-0.224583010768754</v>
      </c>
      <c r="O26" s="972">
        <f t="shared" si="25"/>
        <v>-0.23811012279482377</v>
      </c>
      <c r="P26" s="972">
        <f t="shared" si="25"/>
        <v>-0.25140125500318661</v>
      </c>
      <c r="Q26" s="972">
        <f t="shared" si="25"/>
        <v>-0.26446052405039533</v>
      </c>
      <c r="R26" s="972">
        <f t="shared" si="25"/>
        <v>-0.27729197477812739</v>
      </c>
      <c r="S26" s="972">
        <f t="shared" si="25"/>
        <v>-0.28989958146599237</v>
      </c>
      <c r="T26" s="972">
        <f t="shared" si="25"/>
        <v>-0.30228724906248383</v>
      </c>
      <c r="U26" s="972">
        <f t="shared" si="25"/>
        <v>-0.31445881439445578</v>
      </c>
      <c r="V26" s="972">
        <f t="shared" si="25"/>
        <v>-0.32641804735550395</v>
      </c>
      <c r="W26" s="972">
        <f t="shared" si="25"/>
        <v>-0.33816865207361124</v>
      </c>
      <c r="X26" s="972">
        <f t="shared" si="25"/>
        <v>-0.34971426805842587</v>
      </c>
      <c r="Y26" s="973">
        <f t="shared" si="25"/>
        <v>-0.3610584713285262</v>
      </c>
    </row>
    <row r="27" spans="2:25" ht="27.75" customHeight="1" x14ac:dyDescent="0.2">
      <c r="B27" s="1684" t="s">
        <v>985</v>
      </c>
      <c r="C27" s="1692"/>
      <c r="D27" s="1685"/>
      <c r="E27" s="1686">
        <f>-E26*$C$5</f>
        <v>2.4705927046934084E-2</v>
      </c>
      <c r="F27" s="1687">
        <f t="shared" ref="F27:Y27" si="26">-F26*$C$5</f>
        <v>2.8985070334027526E-2</v>
      </c>
      <c r="G27" s="1687">
        <f t="shared" si="26"/>
        <v>3.3189564172599655E-2</v>
      </c>
      <c r="H27" s="1687">
        <f t="shared" si="26"/>
        <v>3.7320710818684377E-2</v>
      </c>
      <c r="I27" s="1687">
        <f t="shared" si="26"/>
        <v>4.1379789810521275E-2</v>
      </c>
      <c r="J27" s="1687">
        <f t="shared" si="26"/>
        <v>4.5368058364867445E-2</v>
      </c>
      <c r="K27" s="1687">
        <f t="shared" si="26"/>
        <v>4.9286751766393945E-2</v>
      </c>
      <c r="L27" s="1687">
        <f t="shared" si="26"/>
        <v>5.3137083750290463E-2</v>
      </c>
      <c r="M27" s="1687">
        <f t="shared" si="26"/>
        <v>5.6920246878194566E-2</v>
      </c>
      <c r="N27" s="1687">
        <f t="shared" si="26"/>
        <v>6.0637412907563588E-2</v>
      </c>
      <c r="O27" s="1687">
        <f t="shared" si="26"/>
        <v>6.4289733154602416E-2</v>
      </c>
      <c r="P27" s="1687">
        <f t="shared" si="26"/>
        <v>6.7878338850860392E-2</v>
      </c>
      <c r="Q27" s="1687">
        <f t="shared" si="26"/>
        <v>7.1404341493606749E-2</v>
      </c>
      <c r="R27" s="1687">
        <f t="shared" si="26"/>
        <v>7.4868833190094394E-2</v>
      </c>
      <c r="S27" s="1687">
        <f t="shared" si="26"/>
        <v>7.8272886995817942E-2</v>
      </c>
      <c r="T27" s="1687">
        <f t="shared" si="26"/>
        <v>8.1617557246870642E-2</v>
      </c>
      <c r="U27" s="1687">
        <f t="shared" si="26"/>
        <v>8.4903879886503067E-2</v>
      </c>
      <c r="V27" s="1687">
        <f t="shared" si="26"/>
        <v>8.8132872785986069E-2</v>
      </c>
      <c r="W27" s="1687">
        <f t="shared" si="26"/>
        <v>9.1305536059875042E-2</v>
      </c>
      <c r="X27" s="1687">
        <f t="shared" si="26"/>
        <v>9.4422852375774996E-2</v>
      </c>
      <c r="Y27" s="1688">
        <f t="shared" si="26"/>
        <v>9.7485787258702078E-2</v>
      </c>
    </row>
    <row r="28" spans="2:25" ht="15" x14ac:dyDescent="0.2">
      <c r="B28" s="999"/>
      <c r="C28" s="1693"/>
      <c r="D28" s="958"/>
      <c r="E28" s="966"/>
      <c r="F28" s="967"/>
      <c r="G28" s="967"/>
      <c r="H28" s="949"/>
      <c r="I28" s="967"/>
      <c r="J28" s="967"/>
      <c r="K28" s="967"/>
      <c r="L28" s="967"/>
      <c r="M28" s="967"/>
      <c r="N28" s="967"/>
      <c r="O28" s="967"/>
      <c r="P28" s="967"/>
      <c r="Q28" s="967"/>
      <c r="R28" s="967"/>
      <c r="S28" s="967"/>
      <c r="T28" s="967"/>
      <c r="U28" s="967"/>
      <c r="V28" s="967"/>
      <c r="W28" s="967"/>
      <c r="X28" s="967"/>
      <c r="Y28" s="968"/>
    </row>
    <row r="29" spans="2:25" s="1439" customFormat="1" ht="28.5" customHeight="1" x14ac:dyDescent="0.25">
      <c r="B29" s="1689" t="s">
        <v>668</v>
      </c>
      <c r="C29" s="1694"/>
      <c r="D29" s="1685"/>
      <c r="E29" s="1030">
        <f>E23*E27</f>
        <v>16844.963295680453</v>
      </c>
      <c r="F29" s="1031">
        <f t="shared" ref="F29:Y29" si="27">F23*F27</f>
        <v>20194.101391029279</v>
      </c>
      <c r="G29" s="1031">
        <f t="shared" si="27"/>
        <v>23628.327566491123</v>
      </c>
      <c r="H29" s="1031">
        <f t="shared" si="27"/>
        <v>27149.547763447812</v>
      </c>
      <c r="I29" s="1031">
        <f t="shared" si="27"/>
        <v>30759.709733963598</v>
      </c>
      <c r="J29" s="1031">
        <f t="shared" si="27"/>
        <v>34460.803954541014</v>
      </c>
      <c r="K29" s="1031">
        <f t="shared" si="27"/>
        <v>38254.864559831396</v>
      </c>
      <c r="L29" s="1031">
        <f t="shared" si="27"/>
        <v>42143.970296738087</v>
      </c>
      <c r="M29" s="1031">
        <f t="shared" si="27"/>
        <v>46130.245499355937</v>
      </c>
      <c r="N29" s="1031">
        <f t="shared" si="27"/>
        <v>50215.861085203505</v>
      </c>
      <c r="O29" s="1031">
        <f t="shared" si="27"/>
        <v>54403.035573211819</v>
      </c>
      <c r="P29" s="1031">
        <f t="shared" si="27"/>
        <v>58694.036123945669</v>
      </c>
      <c r="Q29" s="1031">
        <f t="shared" si="27"/>
        <v>63091.179602541815</v>
      </c>
      <c r="R29" s="1031">
        <f t="shared" si="27"/>
        <v>67596.83366486145</v>
      </c>
      <c r="S29" s="1031">
        <f t="shared" si="27"/>
        <v>72213.417867363198</v>
      </c>
      <c r="T29" s="1031">
        <f t="shared" si="27"/>
        <v>76943.404801214376</v>
      </c>
      <c r="U29" s="1031">
        <f t="shared" si="27"/>
        <v>81789.321251169924</v>
      </c>
      <c r="V29" s="1031">
        <f t="shared" si="27"/>
        <v>86753.74937976092</v>
      </c>
      <c r="W29" s="1031">
        <f t="shared" si="27"/>
        <v>91839.327937343362</v>
      </c>
      <c r="X29" s="1031">
        <f t="shared" si="27"/>
        <v>97048.75349857338</v>
      </c>
      <c r="Y29" s="1032">
        <f t="shared" si="27"/>
        <v>102384.78172588616</v>
      </c>
    </row>
    <row r="30" spans="2:25" ht="15.75" thickBot="1" x14ac:dyDescent="0.25">
      <c r="B30" s="1002"/>
      <c r="C30" s="975"/>
      <c r="D30" s="1341"/>
      <c r="E30" s="977"/>
      <c r="F30" s="978"/>
      <c r="G30" s="978"/>
      <c r="H30" s="978"/>
      <c r="I30" s="978"/>
      <c r="J30" s="978"/>
      <c r="K30" s="978"/>
      <c r="L30" s="978"/>
      <c r="M30" s="978"/>
      <c r="N30" s="978"/>
      <c r="O30" s="978"/>
      <c r="P30" s="978"/>
      <c r="Q30" s="978"/>
      <c r="R30" s="978"/>
      <c r="S30" s="978"/>
      <c r="T30" s="978"/>
      <c r="U30" s="978"/>
      <c r="V30" s="978"/>
      <c r="W30" s="978"/>
      <c r="X30" s="978"/>
      <c r="Y30" s="979"/>
    </row>
    <row r="31" spans="2:25" ht="15.75" thickBot="1" x14ac:dyDescent="0.25">
      <c r="B31" s="1003"/>
      <c r="C31" s="965"/>
      <c r="D31" s="958"/>
      <c r="E31" s="958"/>
      <c r="F31" s="967"/>
      <c r="G31" s="967"/>
      <c r="H31" s="967"/>
      <c r="I31" s="967"/>
      <c r="J31" s="967"/>
      <c r="K31" s="967"/>
      <c r="L31" s="967"/>
      <c r="M31" s="967"/>
      <c r="N31" s="967"/>
      <c r="O31" s="967"/>
      <c r="P31" s="967"/>
      <c r="Q31" s="967"/>
      <c r="R31" s="967"/>
      <c r="S31" s="967"/>
      <c r="T31" s="967"/>
      <c r="U31" s="967"/>
      <c r="V31" s="967"/>
      <c r="W31" s="967"/>
      <c r="X31" s="967"/>
      <c r="Y31" s="967"/>
    </row>
    <row r="32" spans="2:25" ht="21" thickBot="1" x14ac:dyDescent="0.25">
      <c r="B32" s="1004"/>
      <c r="C32" s="955"/>
      <c r="D32" s="956"/>
      <c r="E32" s="1818" t="s">
        <v>670</v>
      </c>
      <c r="F32" s="1819"/>
      <c r="G32" s="1819"/>
      <c r="H32" s="1819"/>
      <c r="I32" s="1819"/>
      <c r="J32" s="1819"/>
      <c r="K32" s="1819"/>
      <c r="L32" s="1819"/>
      <c r="M32" s="1819"/>
      <c r="N32" s="1819"/>
      <c r="O32" s="1819"/>
      <c r="P32" s="1819"/>
      <c r="Q32" s="1819"/>
      <c r="R32" s="1819"/>
      <c r="S32" s="1819"/>
      <c r="T32" s="1819"/>
      <c r="U32" s="1819"/>
      <c r="V32" s="1819"/>
      <c r="W32" s="1819"/>
      <c r="X32" s="1819"/>
      <c r="Y32" s="1820"/>
    </row>
    <row r="33" spans="2:30" ht="16.5" thickBot="1" x14ac:dyDescent="0.25">
      <c r="B33" s="1005"/>
      <c r="C33" s="958"/>
      <c r="D33" s="959"/>
      <c r="E33" s="719">
        <v>2023</v>
      </c>
      <c r="F33" s="717">
        <f>E33+1</f>
        <v>2024</v>
      </c>
      <c r="G33" s="717">
        <f t="shared" ref="G33:Y33" si="28">F33+1</f>
        <v>2025</v>
      </c>
      <c r="H33" s="717">
        <f t="shared" si="28"/>
        <v>2026</v>
      </c>
      <c r="I33" s="717">
        <f t="shared" si="28"/>
        <v>2027</v>
      </c>
      <c r="J33" s="717">
        <f t="shared" si="28"/>
        <v>2028</v>
      </c>
      <c r="K33" s="717">
        <f t="shared" si="28"/>
        <v>2029</v>
      </c>
      <c r="L33" s="717">
        <f t="shared" si="28"/>
        <v>2030</v>
      </c>
      <c r="M33" s="717">
        <f t="shared" si="28"/>
        <v>2031</v>
      </c>
      <c r="N33" s="717">
        <f t="shared" si="28"/>
        <v>2032</v>
      </c>
      <c r="O33" s="717">
        <f t="shared" si="28"/>
        <v>2033</v>
      </c>
      <c r="P33" s="717">
        <f t="shared" si="28"/>
        <v>2034</v>
      </c>
      <c r="Q33" s="717">
        <f t="shared" si="28"/>
        <v>2035</v>
      </c>
      <c r="R33" s="717">
        <f t="shared" si="28"/>
        <v>2036</v>
      </c>
      <c r="S33" s="717">
        <f t="shared" si="28"/>
        <v>2037</v>
      </c>
      <c r="T33" s="717">
        <f t="shared" si="28"/>
        <v>2038</v>
      </c>
      <c r="U33" s="717">
        <f t="shared" si="28"/>
        <v>2039</v>
      </c>
      <c r="V33" s="717">
        <f t="shared" si="28"/>
        <v>2040</v>
      </c>
      <c r="W33" s="717">
        <f t="shared" si="28"/>
        <v>2041</v>
      </c>
      <c r="X33" s="717">
        <f t="shared" si="28"/>
        <v>2042</v>
      </c>
      <c r="Y33" s="718">
        <f t="shared" si="28"/>
        <v>2043</v>
      </c>
    </row>
    <row r="34" spans="2:30" ht="15" x14ac:dyDescent="0.2">
      <c r="B34" s="1006"/>
      <c r="C34" s="601"/>
      <c r="D34" s="601"/>
      <c r="E34" s="1059"/>
      <c r="F34" s="1060"/>
      <c r="G34" s="1060"/>
      <c r="H34" s="1060"/>
      <c r="I34" s="1060"/>
      <c r="J34" s="1060"/>
      <c r="K34" s="1060"/>
      <c r="L34" s="1060"/>
      <c r="M34" s="1060"/>
      <c r="N34" s="1060"/>
      <c r="O34" s="1060"/>
      <c r="P34" s="1060"/>
      <c r="Q34" s="1060"/>
      <c r="R34" s="1060"/>
      <c r="S34" s="1060"/>
      <c r="T34" s="1060"/>
      <c r="U34" s="1060"/>
      <c r="V34" s="1060"/>
      <c r="W34" s="1060"/>
      <c r="X34" s="1060"/>
      <c r="Y34" s="1061"/>
    </row>
    <row r="35" spans="2:30" ht="15" x14ac:dyDescent="0.2">
      <c r="B35" s="999" t="s">
        <v>675</v>
      </c>
      <c r="C35" s="965" t="s">
        <v>343</v>
      </c>
      <c r="D35" s="985"/>
      <c r="E35" s="1510">
        <f>IF(BCA!$I$19=BCA!$I$17,E13*E29,E29*E12)</f>
        <v>1094922.6142192294</v>
      </c>
      <c r="F35" s="980">
        <f>IF(BCA!$I$19=BCA!$I$17,F13*F29,F29*F12)</f>
        <v>1312616.5904169031</v>
      </c>
      <c r="G35" s="980">
        <f>IF(BCA!$I$19=BCA!$I$17,G13*G29,G29*G12)</f>
        <v>1535841.2918219231</v>
      </c>
      <c r="H35" s="980">
        <f>IF(BCA!$I$19=BCA!$I$17,H13*H29,H29*H12)</f>
        <v>1764720.6046241077</v>
      </c>
      <c r="I35" s="980">
        <f>IF(BCA!$I$19=BCA!$I$17,I13*I29,I29*I12)</f>
        <v>1999381.132707634</v>
      </c>
      <c r="J35" s="980">
        <f>IF(BCA!$I$19=BCA!$I$17,J13*J29,J29*J12)</f>
        <v>2239952.2570451661</v>
      </c>
      <c r="K35" s="980">
        <f>IF(BCA!$I$19=BCA!$I$17,K13*K29,K29*K12)</f>
        <v>2486566.1963890409</v>
      </c>
      <c r="L35" s="980">
        <f>IF(BCA!$I$19=BCA!$I$17,L13*L29,L29*L12)</f>
        <v>2739358.0692879758</v>
      </c>
      <c r="M35" s="980">
        <f>IF(BCA!$I$19=BCA!$I$17,M13*M29,M29*M12)</f>
        <v>2998465.9574581357</v>
      </c>
      <c r="N35" s="980">
        <f>IF(BCA!$I$19=BCA!$I$17,N13*N29,N29*N12)</f>
        <v>3264030.9705382278</v>
      </c>
      <c r="O35" s="980">
        <f>IF(BCA!$I$19=BCA!$I$17,O13*O29,O29*O12)</f>
        <v>3536197.3122587684</v>
      </c>
      <c r="P35" s="980">
        <f>IF(BCA!$I$19=BCA!$I$17,P13*P29,P29*P12)</f>
        <v>3815112.3480564686</v>
      </c>
      <c r="Q35" s="980">
        <f>IF(BCA!$I$19=BCA!$I$17,Q13*Q29,Q29*Q12)</f>
        <v>4100926.6741652181</v>
      </c>
      <c r="R35" s="980">
        <f>IF(BCA!$I$19=BCA!$I$17,R13*R29,R29*R12)</f>
        <v>4393794.1882159943</v>
      </c>
      <c r="S35" s="980">
        <f>IF(BCA!$I$19=BCA!$I$17,S13*S29,S29*S12)</f>
        <v>4693872.1613786081</v>
      </c>
      <c r="T35" s="980">
        <f>IF(BCA!$I$19=BCA!$I$17,T13*T29,T29*T12)</f>
        <v>5001321.3120789342</v>
      </c>
      <c r="U35" s="980">
        <f>IF(BCA!$I$19=BCA!$I$17,U13*U29,U29*U12)</f>
        <v>5316305.8813260449</v>
      </c>
      <c r="V35" s="980">
        <f>IF(BCA!$I$19=BCA!$I$17,V13*V29,V29*V12)</f>
        <v>5638993.7096844595</v>
      </c>
      <c r="W35" s="980">
        <f>IF(BCA!$I$19=BCA!$I$17,W13*W29,W29*W12)</f>
        <v>5969556.3159273183</v>
      </c>
      <c r="X35" s="980">
        <f>IF(BCA!$I$19=BCA!$I$17,X13*X29,X29*X12)</f>
        <v>6308168.9774072701</v>
      </c>
      <c r="Y35" s="981">
        <f>IF(BCA!$I$19=BCA!$I$17,Y13*Y29,Y29*Y12)</f>
        <v>6655010.8121826006</v>
      </c>
    </row>
    <row r="36" spans="2:30" ht="15" x14ac:dyDescent="0.2">
      <c r="B36" s="999" t="s">
        <v>671</v>
      </c>
      <c r="C36" s="965" t="s">
        <v>344</v>
      </c>
      <c r="D36" s="958"/>
      <c r="E36" s="1510">
        <f>E35*$C$7</f>
        <v>42755.959148949856</v>
      </c>
      <c r="F36" s="980">
        <f t="shared" ref="F36:Y36" si="29">F35*$C$7</f>
        <v>51256.756038524902</v>
      </c>
      <c r="G36" s="980">
        <f t="shared" si="29"/>
        <v>59973.523863359136</v>
      </c>
      <c r="H36" s="980">
        <f t="shared" si="29"/>
        <v>68911.100292162839</v>
      </c>
      <c r="I36" s="980">
        <f t="shared" si="29"/>
        <v>78074.429117702457</v>
      </c>
      <c r="J36" s="980">
        <f t="shared" si="29"/>
        <v>87468.562576099532</v>
      </c>
      <c r="K36" s="980">
        <f t="shared" si="29"/>
        <v>97098.663716778959</v>
      </c>
      <c r="L36" s="980">
        <f t="shared" si="29"/>
        <v>106970.00882417784</v>
      </c>
      <c r="M36" s="980">
        <f t="shared" si="29"/>
        <v>117087.98989234114</v>
      </c>
      <c r="N36" s="980">
        <f t="shared" si="29"/>
        <v>127458.11715356265</v>
      </c>
      <c r="O36" s="980">
        <f t="shared" si="29"/>
        <v>138086.02166224841</v>
      </c>
      <c r="P36" s="980">
        <f t="shared" si="29"/>
        <v>148977.45793521104</v>
      </c>
      <c r="Q36" s="980">
        <f t="shared" si="29"/>
        <v>160138.30664962396</v>
      </c>
      <c r="R36" s="980">
        <f t="shared" si="29"/>
        <v>171574.57739989847</v>
      </c>
      <c r="S36" s="980">
        <f t="shared" si="29"/>
        <v>183292.41151476817</v>
      </c>
      <c r="T36" s="980">
        <f t="shared" si="29"/>
        <v>195298.08493589496</v>
      </c>
      <c r="U36" s="980">
        <f t="shared" si="29"/>
        <v>207598.01115934085</v>
      </c>
      <c r="V36" s="980">
        <f t="shared" si="29"/>
        <v>220198.74424128016</v>
      </c>
      <c r="W36" s="980">
        <f t="shared" si="29"/>
        <v>233106.98186935074</v>
      </c>
      <c r="X36" s="980">
        <f t="shared" si="29"/>
        <v>246329.56850108071</v>
      </c>
      <c r="Y36" s="981">
        <f t="shared" si="29"/>
        <v>259873.49857085606</v>
      </c>
    </row>
    <row r="37" spans="2:30" ht="15" x14ac:dyDescent="0.2">
      <c r="B37" s="999" t="s">
        <v>672</v>
      </c>
      <c r="C37" s="965" t="s">
        <v>666</v>
      </c>
      <c r="D37" s="958"/>
      <c r="E37" s="1510">
        <f>E35*$C$8</f>
        <v>19301.530775048785</v>
      </c>
      <c r="F37" s="980">
        <f t="shared" ref="F37:Y37" si="30">F35*$C$8</f>
        <v>23139.086896874243</v>
      </c>
      <c r="G37" s="980">
        <f t="shared" si="30"/>
        <v>27074.139829352436</v>
      </c>
      <c r="H37" s="980">
        <f t="shared" si="30"/>
        <v>31108.873464819069</v>
      </c>
      <c r="I37" s="980">
        <f t="shared" si="30"/>
        <v>35245.51960370913</v>
      </c>
      <c r="J37" s="980">
        <f t="shared" si="30"/>
        <v>39486.359001569297</v>
      </c>
      <c r="K37" s="980">
        <f t="shared" si="30"/>
        <v>43833.722438935241</v>
      </c>
      <c r="L37" s="980">
        <f t="shared" si="30"/>
        <v>48289.991814575398</v>
      </c>
      <c r="M37" s="980">
        <f t="shared" si="30"/>
        <v>52857.601262609765</v>
      </c>
      <c r="N37" s="980">
        <f t="shared" si="30"/>
        <v>57539.038294026599</v>
      </c>
      <c r="O37" s="980">
        <f t="shared" si="30"/>
        <v>62336.84496312846</v>
      </c>
      <c r="P37" s="980">
        <f t="shared" si="30"/>
        <v>67253.619059453078</v>
      </c>
      <c r="Q37" s="980">
        <f t="shared" si="30"/>
        <v>72292.015325724089</v>
      </c>
      <c r="R37" s="980">
        <f t="shared" si="30"/>
        <v>77454.746702401331</v>
      </c>
      <c r="S37" s="980">
        <f t="shared" si="30"/>
        <v>82744.585599411061</v>
      </c>
      <c r="T37" s="980">
        <f t="shared" si="30"/>
        <v>88164.365195649065</v>
      </c>
      <c r="U37" s="980">
        <f t="shared" si="30"/>
        <v>93716.980766863577</v>
      </c>
      <c r="V37" s="980">
        <f t="shared" si="30"/>
        <v>99405.391042538569</v>
      </c>
      <c r="W37" s="980">
        <f t="shared" si="30"/>
        <v>105232.61959240884</v>
      </c>
      <c r="X37" s="980">
        <f t="shared" si="30"/>
        <v>111201.75624325515</v>
      </c>
      <c r="Y37" s="981">
        <f t="shared" si="30"/>
        <v>117315.95852664138</v>
      </c>
    </row>
    <row r="38" spans="2:30" ht="15" x14ac:dyDescent="0.2">
      <c r="B38" s="999"/>
      <c r="C38" s="949"/>
      <c r="D38" s="958"/>
      <c r="E38" s="966"/>
      <c r="F38" s="967"/>
      <c r="G38" s="967"/>
      <c r="H38" s="967"/>
      <c r="I38" s="967"/>
      <c r="J38" s="967"/>
      <c r="K38" s="967"/>
      <c r="L38" s="967"/>
      <c r="M38" s="967"/>
      <c r="N38" s="967"/>
      <c r="O38" s="967"/>
      <c r="P38" s="967"/>
      <c r="Q38" s="967"/>
      <c r="R38" s="967"/>
      <c r="S38" s="967"/>
      <c r="T38" s="967"/>
      <c r="U38" s="967"/>
      <c r="V38" s="967"/>
      <c r="W38" s="967"/>
      <c r="X38" s="967"/>
      <c r="Y38" s="968"/>
    </row>
    <row r="39" spans="2:30" ht="15" x14ac:dyDescent="0.2">
      <c r="B39" s="1001" t="s">
        <v>684</v>
      </c>
      <c r="C39" s="965" t="s">
        <v>345</v>
      </c>
      <c r="D39" s="958"/>
      <c r="E39" s="1511">
        <f>SUM(E35:E37)</f>
        <v>1156980.1041432281</v>
      </c>
      <c r="F39" s="982">
        <f t="shared" ref="F39:Y39" si="31">SUM(F35:F37)</f>
        <v>1387012.4333523023</v>
      </c>
      <c r="G39" s="982">
        <f t="shared" si="31"/>
        <v>1622888.9555146347</v>
      </c>
      <c r="H39" s="982">
        <f t="shared" si="31"/>
        <v>1864740.5783810895</v>
      </c>
      <c r="I39" s="982">
        <f t="shared" si="31"/>
        <v>2112701.0814290456</v>
      </c>
      <c r="J39" s="982">
        <f t="shared" si="31"/>
        <v>2366907.1786228353</v>
      </c>
      <c r="K39" s="982">
        <f t="shared" si="31"/>
        <v>2627498.5825447552</v>
      </c>
      <c r="L39" s="982">
        <f t="shared" si="31"/>
        <v>2894618.0699267294</v>
      </c>
      <c r="M39" s="982">
        <f t="shared" si="31"/>
        <v>3168411.5486130868</v>
      </c>
      <c r="N39" s="982">
        <f t="shared" si="31"/>
        <v>3449028.1259858171</v>
      </c>
      <c r="O39" s="982">
        <f t="shared" si="31"/>
        <v>3736620.1788841453</v>
      </c>
      <c r="P39" s="982">
        <f t="shared" si="31"/>
        <v>4031343.4250511331</v>
      </c>
      <c r="Q39" s="982">
        <f t="shared" si="31"/>
        <v>4333356.9961405667</v>
      </c>
      <c r="R39" s="982">
        <f t="shared" si="31"/>
        <v>4642823.5123182936</v>
      </c>
      <c r="S39" s="982">
        <f t="shared" si="31"/>
        <v>4959909.1584927877</v>
      </c>
      <c r="T39" s="982">
        <f t="shared" si="31"/>
        <v>5284783.7622104781</v>
      </c>
      <c r="U39" s="982">
        <f t="shared" si="31"/>
        <v>5617620.8732522493</v>
      </c>
      <c r="V39" s="982">
        <f t="shared" si="31"/>
        <v>5958597.8449682789</v>
      </c>
      <c r="W39" s="982">
        <f t="shared" si="31"/>
        <v>6307895.9173890781</v>
      </c>
      <c r="X39" s="982">
        <f t="shared" si="31"/>
        <v>6665700.3021516055</v>
      </c>
      <c r="Y39" s="983">
        <f t="shared" si="31"/>
        <v>7032200.2692800974</v>
      </c>
    </row>
    <row r="40" spans="2:30" ht="15" thickBot="1" x14ac:dyDescent="0.25">
      <c r="B40" s="974"/>
      <c r="C40" s="975"/>
      <c r="D40" s="1341"/>
      <c r="E40" s="977"/>
      <c r="F40" s="978"/>
      <c r="G40" s="978"/>
      <c r="H40" s="978"/>
      <c r="I40" s="978"/>
      <c r="J40" s="978"/>
      <c r="K40" s="978"/>
      <c r="L40" s="978"/>
      <c r="M40" s="978"/>
      <c r="N40" s="978"/>
      <c r="O40" s="978"/>
      <c r="P40" s="978"/>
      <c r="Q40" s="978"/>
      <c r="R40" s="978"/>
      <c r="S40" s="978"/>
      <c r="T40" s="978"/>
      <c r="U40" s="978"/>
      <c r="V40" s="978"/>
      <c r="W40" s="978"/>
      <c r="X40" s="978"/>
      <c r="Y40" s="979"/>
    </row>
    <row r="43" spans="2:30" ht="18" x14ac:dyDescent="0.2">
      <c r="E43" s="1835" t="s">
        <v>708</v>
      </c>
      <c r="F43" s="1835"/>
      <c r="G43" s="1835"/>
      <c r="H43" s="1835"/>
      <c r="I43" s="1416"/>
      <c r="J43" s="1416"/>
      <c r="K43" s="1416"/>
      <c r="L43" s="945"/>
      <c r="R43" s="1416" t="s">
        <v>605</v>
      </c>
      <c r="W43" s="958"/>
      <c r="X43" s="958"/>
      <c r="Y43" s="958"/>
      <c r="AD43" s="958"/>
    </row>
    <row r="44" spans="2:30" ht="18.75" thickBot="1" x14ac:dyDescent="0.25">
      <c r="E44" s="1416" t="s">
        <v>858</v>
      </c>
      <c r="F44" s="1420"/>
      <c r="G44" s="1420"/>
      <c r="H44" s="1420"/>
      <c r="J44" s="1416" t="s">
        <v>857</v>
      </c>
      <c r="M44" s="945"/>
      <c r="R44" s="1416" t="s">
        <v>858</v>
      </c>
      <c r="S44" s="1416" t="s">
        <v>857</v>
      </c>
      <c r="T44" s="958"/>
      <c r="U44" s="958"/>
      <c r="W44" s="958"/>
      <c r="X44" s="958"/>
      <c r="Y44" s="958"/>
      <c r="AD44" s="958"/>
    </row>
    <row r="45" spans="2:30" ht="16.5" thickBot="1" x14ac:dyDescent="0.25">
      <c r="E45" s="1674" t="s">
        <v>182</v>
      </c>
      <c r="F45" s="1675" t="s">
        <v>180</v>
      </c>
      <c r="G45" s="1675" t="s">
        <v>178</v>
      </c>
      <c r="H45" s="1675" t="s">
        <v>268</v>
      </c>
      <c r="J45" s="1697"/>
      <c r="K45" s="1697"/>
      <c r="L45" s="1697"/>
      <c r="M45" s="1697"/>
      <c r="N45" s="1697"/>
      <c r="O45" s="1698"/>
      <c r="R45" s="984"/>
      <c r="S45" s="984"/>
      <c r="T45" s="958"/>
      <c r="U45" s="958"/>
      <c r="W45" s="958"/>
      <c r="X45" s="958"/>
      <c r="Y45" s="958"/>
      <c r="AD45" s="985"/>
    </row>
    <row r="46" spans="2:30" ht="38.25" x14ac:dyDescent="0.2">
      <c r="E46" s="1699" t="s">
        <v>7</v>
      </c>
      <c r="F46" s="1696" t="s">
        <v>275</v>
      </c>
      <c r="G46" s="1183" t="s">
        <v>673</v>
      </c>
      <c r="H46" s="1672" t="s">
        <v>677</v>
      </c>
      <c r="J46" s="1672" t="s">
        <v>873</v>
      </c>
      <c r="K46" s="1672" t="s">
        <v>727</v>
      </c>
      <c r="L46" s="1672" t="s">
        <v>875</v>
      </c>
      <c r="M46" s="1672" t="s">
        <v>651</v>
      </c>
      <c r="N46" s="1672" t="s">
        <v>874</v>
      </c>
      <c r="O46" s="1673" t="s">
        <v>876</v>
      </c>
      <c r="R46" s="1515" t="s">
        <v>674</v>
      </c>
      <c r="S46" s="1515" t="s">
        <v>674</v>
      </c>
    </row>
    <row r="47" spans="2:30" ht="14.25" x14ac:dyDescent="0.2">
      <c r="E47" s="1489">
        <v>4</v>
      </c>
      <c r="F47" s="988">
        <v>2023</v>
      </c>
      <c r="G47" s="989">
        <f t="array" ref="G47:G67">TRANSPOSE(E29:Y29)</f>
        <v>16844.963295680453</v>
      </c>
      <c r="H47" s="989">
        <f t="array" ref="H47:H67">TRANSPOSE(E35:Y35)</f>
        <v>1094922.6142192294</v>
      </c>
      <c r="J47" s="1055">
        <f t="array" ref="J47:J67">TRANSPOSE(E24:Y24)</f>
        <v>9.6655256740385234E-2</v>
      </c>
      <c r="K47" s="1055"/>
      <c r="L47" s="1055"/>
      <c r="M47" s="1055">
        <f t="array" ref="M47:M67">TRANSPOSE(E23:Y23)</f>
        <v>681818.70948132873</v>
      </c>
      <c r="N47" s="1055"/>
      <c r="O47" s="1518"/>
      <c r="R47" s="1516">
        <f>H47</f>
        <v>1094922.6142192294</v>
      </c>
      <c r="S47" s="1516">
        <f t="shared" ref="S47:S67" si="32">O47</f>
        <v>0</v>
      </c>
    </row>
    <row r="48" spans="2:30" ht="15" customHeight="1" x14ac:dyDescent="0.2">
      <c r="E48" s="1489">
        <v>5</v>
      </c>
      <c r="F48" s="988">
        <f>F47+1</f>
        <v>2024</v>
      </c>
      <c r="G48" s="989">
        <v>20194.101391029279</v>
      </c>
      <c r="H48" s="989">
        <v>1312616.5904169031</v>
      </c>
      <c r="J48" s="1055">
        <v>9.970561927881666E-2</v>
      </c>
      <c r="K48" s="1055">
        <f t="shared" ref="K48:K50" si="33">J48-J47</f>
        <v>3.0503625384314254E-3</v>
      </c>
      <c r="L48" s="1055">
        <f>-K48*$C$5</f>
        <v>-8.2359788537648493E-4</v>
      </c>
      <c r="M48" s="1055">
        <v>696706.99978678545</v>
      </c>
      <c r="N48" s="1421">
        <f t="shared" ref="N48:N49" si="34">M48*L48</f>
        <v>-573.80641175139169</v>
      </c>
      <c r="O48" s="1519">
        <f t="shared" ref="O48:O67" si="35">-N48*($C$9)</f>
        <v>37297.416763840461</v>
      </c>
      <c r="R48" s="1516">
        <f t="shared" ref="R48:R67" si="36">H48</f>
        <v>1312616.5904169031</v>
      </c>
      <c r="S48" s="1516">
        <f t="shared" si="32"/>
        <v>37297.416763840461</v>
      </c>
    </row>
    <row r="49" spans="5:19" ht="14.25" x14ac:dyDescent="0.2">
      <c r="E49" s="1489">
        <v>6</v>
      </c>
      <c r="F49" s="988">
        <f t="shared" ref="F49:F67" si="37">F48+1</f>
        <v>2025</v>
      </c>
      <c r="G49" s="989">
        <v>23628.327566491123</v>
      </c>
      <c r="H49" s="989">
        <v>1535841.2918219231</v>
      </c>
      <c r="J49" s="1055">
        <v>0.10285224881740572</v>
      </c>
      <c r="K49" s="1055">
        <f t="shared" si="33"/>
        <v>3.1466295385890602E-3</v>
      </c>
      <c r="L49" s="1055">
        <f t="shared" ref="L49:L67" si="38">-K49*$C$5</f>
        <v>-8.495899754190463E-4</v>
      </c>
      <c r="M49" s="1055">
        <v>711920.39291669847</v>
      </c>
      <c r="N49" s="1421">
        <f t="shared" si="34"/>
        <v>-604.84042911841561</v>
      </c>
      <c r="O49" s="1519">
        <f t="shared" si="35"/>
        <v>39314.627892697012</v>
      </c>
      <c r="R49" s="1516">
        <f t="shared" si="36"/>
        <v>1535841.2918219231</v>
      </c>
      <c r="S49" s="1516">
        <f t="shared" si="32"/>
        <v>39314.627892697012</v>
      </c>
    </row>
    <row r="50" spans="5:19" ht="14.25" x14ac:dyDescent="0.2">
      <c r="E50" s="1489">
        <v>7</v>
      </c>
      <c r="F50" s="988">
        <f t="shared" si="37"/>
        <v>2026</v>
      </c>
      <c r="G50" s="989">
        <v>27149.547763447812</v>
      </c>
      <c r="H50" s="989">
        <v>1764720.6046241077</v>
      </c>
      <c r="J50" s="1055">
        <v>0.10609818346562395</v>
      </c>
      <c r="K50" s="1055">
        <f t="shared" si="33"/>
        <v>3.245934648218235E-3</v>
      </c>
      <c r="L50" s="1055">
        <f t="shared" si="38"/>
        <v>-8.7640235501892352E-4</v>
      </c>
      <c r="M50" s="1055">
        <v>727465.98786257743</v>
      </c>
      <c r="N50" s="1421">
        <f t="shared" ref="N50:N67" si="39">M50*L50</f>
        <v>-637.55290495893053</v>
      </c>
      <c r="O50" s="1519">
        <f t="shared" si="35"/>
        <v>41440.938822330485</v>
      </c>
      <c r="R50" s="1516">
        <f t="shared" si="36"/>
        <v>1764720.6046241077</v>
      </c>
      <c r="S50" s="1516">
        <f t="shared" si="32"/>
        <v>41440.938822330485</v>
      </c>
    </row>
    <row r="51" spans="5:19" ht="14.25" x14ac:dyDescent="0.2">
      <c r="E51" s="1489">
        <v>8</v>
      </c>
      <c r="F51" s="988">
        <f t="shared" si="37"/>
        <v>2027</v>
      </c>
      <c r="G51" s="989">
        <v>30759.709733963598</v>
      </c>
      <c r="H51" s="989">
        <v>1999381.132707634</v>
      </c>
      <c r="J51" s="1055">
        <v>0.10944655721324587</v>
      </c>
      <c r="K51" s="1055">
        <f t="shared" ref="K51:K67" si="40">J51-J50</f>
        <v>3.3483737476219105E-3</v>
      </c>
      <c r="L51" s="1055">
        <f t="shared" si="38"/>
        <v>-9.0406091185791593E-4</v>
      </c>
      <c r="M51" s="1055">
        <v>743351.03863051999</v>
      </c>
      <c r="N51" s="1421">
        <f t="shared" si="39"/>
        <v>-672.03461781483679</v>
      </c>
      <c r="O51" s="1519">
        <f t="shared" si="35"/>
        <v>43682.250157964394</v>
      </c>
      <c r="R51" s="1516">
        <f t="shared" si="36"/>
        <v>1999381.132707634</v>
      </c>
      <c r="S51" s="1516">
        <f t="shared" si="32"/>
        <v>43682.250157964394</v>
      </c>
    </row>
    <row r="52" spans="5:19" ht="14.25" x14ac:dyDescent="0.2">
      <c r="E52" s="1489">
        <v>9</v>
      </c>
      <c r="F52" s="988">
        <f t="shared" si="37"/>
        <v>2028</v>
      </c>
      <c r="G52" s="989">
        <v>34460.803954541014</v>
      </c>
      <c r="H52" s="989">
        <v>2239952.2570451661</v>
      </c>
      <c r="J52" s="1055">
        <v>0.11290060295625494</v>
      </c>
      <c r="K52" s="1055">
        <f t="shared" si="40"/>
        <v>3.4540457430090737E-3</v>
      </c>
      <c r="L52" s="1055">
        <f t="shared" si="38"/>
        <v>-9.3259235061244998E-4</v>
      </c>
      <c r="M52" s="1055">
        <v>759582.95762613241</v>
      </c>
      <c r="N52" s="1421">
        <f t="shared" si="39"/>
        <v>-708.38125593771179</v>
      </c>
      <c r="O52" s="1519">
        <f t="shared" si="35"/>
        <v>46044.781635951265</v>
      </c>
      <c r="R52" s="1516">
        <f t="shared" si="36"/>
        <v>2239952.2570451661</v>
      </c>
      <c r="S52" s="1516">
        <f t="shared" si="32"/>
        <v>46044.781635951265</v>
      </c>
    </row>
    <row r="53" spans="5:19" ht="14.25" x14ac:dyDescent="0.2">
      <c r="E53" s="1489">
        <v>10</v>
      </c>
      <c r="F53" s="988">
        <f t="shared" si="37"/>
        <v>2029</v>
      </c>
      <c r="G53" s="989">
        <v>38254.864559831396</v>
      </c>
      <c r="H53" s="989">
        <v>2486566.1963890409</v>
      </c>
      <c r="J53" s="1055">
        <v>0.11646365561824415</v>
      </c>
      <c r="K53" s="1055">
        <f t="shared" si="40"/>
        <v>3.5630526619892106E-3</v>
      </c>
      <c r="L53" s="1055">
        <f t="shared" si="38"/>
        <v>-9.6202421873708695E-4</v>
      </c>
      <c r="M53" s="1055">
        <v>776169.31911336433</v>
      </c>
      <c r="N53" s="1421">
        <f t="shared" si="39"/>
        <v>-746.6936828277311</v>
      </c>
      <c r="O53" s="1519">
        <f t="shared" si="35"/>
        <v>48535.089383802522</v>
      </c>
      <c r="R53" s="1516">
        <f t="shared" si="36"/>
        <v>2486566.1963890409</v>
      </c>
      <c r="S53" s="1516">
        <f t="shared" si="32"/>
        <v>48535.089383802522</v>
      </c>
    </row>
    <row r="54" spans="5:19" ht="14.25" x14ac:dyDescent="0.2">
      <c r="E54" s="1489">
        <v>11</v>
      </c>
      <c r="F54" s="988">
        <f t="shared" si="37"/>
        <v>2030</v>
      </c>
      <c r="G54" s="989">
        <v>42143.970296738087</v>
      </c>
      <c r="H54" s="989">
        <v>2739358.0692879758</v>
      </c>
      <c r="J54" s="1055">
        <v>0.12013915537032577</v>
      </c>
      <c r="K54" s="1055">
        <f t="shared" si="40"/>
        <v>3.6754997520816179E-3</v>
      </c>
      <c r="L54" s="1055">
        <f t="shared" si="38"/>
        <v>-9.9238493306203694E-4</v>
      </c>
      <c r="M54" s="1055">
        <v>793117.86274887016</v>
      </c>
      <c r="N54" s="1421">
        <f t="shared" si="39"/>
        <v>-787.07821713434328</v>
      </c>
      <c r="O54" s="1519">
        <f t="shared" si="35"/>
        <v>51160.084113732315</v>
      </c>
      <c r="R54" s="1516">
        <f t="shared" si="36"/>
        <v>2739358.0692879758</v>
      </c>
      <c r="S54" s="1516">
        <f t="shared" si="32"/>
        <v>51160.084113732315</v>
      </c>
    </row>
    <row r="55" spans="5:19" ht="14.25" x14ac:dyDescent="0.2">
      <c r="E55" s="1489">
        <v>12</v>
      </c>
      <c r="F55" s="988">
        <f t="shared" si="37"/>
        <v>2031</v>
      </c>
      <c r="G55" s="989">
        <v>46130.245499355937</v>
      </c>
      <c r="H55" s="989">
        <v>2998465.9574581357</v>
      </c>
      <c r="J55" s="1055">
        <v>0.12393065095265879</v>
      </c>
      <c r="K55" s="1055">
        <f t="shared" si="40"/>
        <v>3.791495582333021E-3</v>
      </c>
      <c r="L55" s="1055">
        <f t="shared" si="38"/>
        <v>-1.0237038072299157E-3</v>
      </c>
      <c r="M55" s="1055">
        <v>810436.49719354708</v>
      </c>
      <c r="N55" s="1421">
        <f t="shared" si="39"/>
        <v>-829.646927695111</v>
      </c>
      <c r="O55" s="1519">
        <f t="shared" si="35"/>
        <v>53927.050300182214</v>
      </c>
      <c r="R55" s="1516">
        <f t="shared" si="36"/>
        <v>2998465.9574581357</v>
      </c>
      <c r="S55" s="1516">
        <f t="shared" si="32"/>
        <v>53927.050300182214</v>
      </c>
    </row>
    <row r="56" spans="5:19" ht="14.25" x14ac:dyDescent="0.2">
      <c r="E56" s="1489">
        <v>13</v>
      </c>
      <c r="F56" s="988">
        <f t="shared" si="37"/>
        <v>2032</v>
      </c>
      <c r="G56" s="989">
        <v>50215.861085203505</v>
      </c>
      <c r="H56" s="989">
        <v>3264030.9705382278</v>
      </c>
      <c r="J56" s="1055">
        <v>0.12784180310080118</v>
      </c>
      <c r="K56" s="1055">
        <f t="shared" si="40"/>
        <v>3.9111521481423883E-3</v>
      </c>
      <c r="L56" s="1055">
        <f t="shared" si="38"/>
        <v>-1.0560110799984449E-3</v>
      </c>
      <c r="M56" s="1055">
        <v>828133.30380293727</v>
      </c>
      <c r="N56" s="1421">
        <f t="shared" si="39"/>
        <v>-874.51794453162006</v>
      </c>
      <c r="O56" s="1519">
        <f t="shared" si="35"/>
        <v>56843.666394555301</v>
      </c>
      <c r="R56" s="1516">
        <f t="shared" si="36"/>
        <v>3264030.9705382278</v>
      </c>
      <c r="S56" s="1516">
        <f t="shared" si="32"/>
        <v>56843.666394555301</v>
      </c>
    </row>
    <row r="57" spans="5:19" ht="14.25" x14ac:dyDescent="0.2">
      <c r="E57" s="1489">
        <v>14</v>
      </c>
      <c r="F57" s="988">
        <f t="shared" si="37"/>
        <v>2033</v>
      </c>
      <c r="G57" s="989">
        <v>54403.035573211819</v>
      </c>
      <c r="H57" s="989">
        <v>3536197.3122587684</v>
      </c>
      <c r="J57" s="1055">
        <v>0.13187638808019495</v>
      </c>
      <c r="K57" s="1055">
        <f t="shared" si="40"/>
        <v>4.0345849793937683E-3</v>
      </c>
      <c r="L57" s="1055">
        <f t="shared" si="38"/>
        <v>-1.0893379444363175E-3</v>
      </c>
      <c r="M57" s="1055">
        <v>846216.54039821099</v>
      </c>
      <c r="N57" s="1421">
        <f t="shared" si="39"/>
        <v>-921.81578666539917</v>
      </c>
      <c r="O57" s="1519">
        <f t="shared" si="35"/>
        <v>59918.026133250947</v>
      </c>
      <c r="R57" s="1516">
        <f t="shared" si="36"/>
        <v>3536197.3122587684</v>
      </c>
      <c r="S57" s="1516">
        <f t="shared" si="32"/>
        <v>59918.026133250947</v>
      </c>
    </row>
    <row r="58" spans="5:19" ht="14.25" x14ac:dyDescent="0.2">
      <c r="E58" s="1489">
        <v>15</v>
      </c>
      <c r="F58" s="988">
        <f t="shared" si="37"/>
        <v>2034</v>
      </c>
      <c r="G58" s="989">
        <v>58694.036123945669</v>
      </c>
      <c r="H58" s="989">
        <v>3815112.3480564686</v>
      </c>
      <c r="J58" s="1055">
        <v>0.13603830133219702</v>
      </c>
      <c r="K58" s="1055">
        <f t="shared" si="40"/>
        <v>4.1619132520020752E-3</v>
      </c>
      <c r="L58" s="1055">
        <f t="shared" si="38"/>
        <v>-1.1237165780405604E-3</v>
      </c>
      <c r="M58" s="1055">
        <v>864694.64511949662</v>
      </c>
      <c r="N58" s="1421">
        <f t="shared" si="39"/>
        <v>-971.67170766367747</v>
      </c>
      <c r="O58" s="1519">
        <f t="shared" si="35"/>
        <v>63158.660998139036</v>
      </c>
      <c r="R58" s="1516">
        <f t="shared" si="36"/>
        <v>3815112.3480564686</v>
      </c>
      <c r="S58" s="1516">
        <f t="shared" si="32"/>
        <v>63158.660998139036</v>
      </c>
    </row>
    <row r="59" spans="5:19" ht="14.25" x14ac:dyDescent="0.2">
      <c r="E59" s="1489">
        <v>16</v>
      </c>
      <c r="F59" s="988">
        <f t="shared" si="37"/>
        <v>2035</v>
      </c>
      <c r="G59" s="989">
        <v>63091.179602541815</v>
      </c>
      <c r="H59" s="989">
        <v>4100926.6741652181</v>
      </c>
      <c r="J59" s="1055">
        <v>0.14033156123517543</v>
      </c>
      <c r="K59" s="1055">
        <f t="shared" si="40"/>
        <v>4.293259902978408E-3</v>
      </c>
      <c r="L59" s="1055">
        <f t="shared" si="38"/>
        <v>-1.1591801738041702E-3</v>
      </c>
      <c r="M59" s="1055">
        <v>883576.24036335014</v>
      </c>
      <c r="N59" s="1421">
        <f t="shared" si="39"/>
        <v>-1024.2240598736234</v>
      </c>
      <c r="O59" s="1519">
        <f t="shared" si="35"/>
        <v>66574.563891785525</v>
      </c>
      <c r="R59" s="1516">
        <f t="shared" si="36"/>
        <v>4100926.6741652181</v>
      </c>
      <c r="S59" s="1516">
        <f t="shared" si="32"/>
        <v>66574.563891785525</v>
      </c>
    </row>
    <row r="60" spans="5:19" ht="14.25" x14ac:dyDescent="0.2">
      <c r="E60" s="1489">
        <v>17</v>
      </c>
      <c r="F60" s="988">
        <f t="shared" si="37"/>
        <v>2036</v>
      </c>
      <c r="G60" s="989">
        <v>67596.83366486145</v>
      </c>
      <c r="H60" s="989">
        <v>4393794.1882159943</v>
      </c>
      <c r="J60" s="1055">
        <v>0.1447603129843032</v>
      </c>
      <c r="K60" s="1055">
        <f t="shared" si="40"/>
        <v>4.4287517491277684E-3</v>
      </c>
      <c r="L60" s="1055">
        <f t="shared" si="38"/>
        <v>-1.1957629722644976E-3</v>
      </c>
      <c r="M60" s="1055">
        <v>902870.13680620468</v>
      </c>
      <c r="N60" s="1421">
        <f t="shared" si="39"/>
        <v>-1079.6186783562409</v>
      </c>
      <c r="O60" s="1519">
        <f t="shared" si="35"/>
        <v>70175.214093155664</v>
      </c>
      <c r="R60" s="1516">
        <f t="shared" si="36"/>
        <v>4393794.1882159943</v>
      </c>
      <c r="S60" s="1516">
        <f t="shared" si="32"/>
        <v>70175.214093155664</v>
      </c>
    </row>
    <row r="61" spans="5:19" ht="14.25" x14ac:dyDescent="0.2">
      <c r="E61" s="1489">
        <v>18</v>
      </c>
      <c r="F61" s="988">
        <f t="shared" si="37"/>
        <v>2037</v>
      </c>
      <c r="G61" s="989">
        <v>72213.417867363198</v>
      </c>
      <c r="H61" s="989">
        <v>4693872.1613786081</v>
      </c>
      <c r="J61" s="1055">
        <v>0.14932883259379512</v>
      </c>
      <c r="K61" s="1055">
        <f t="shared" si="40"/>
        <v>4.5685196094919223E-3</v>
      </c>
      <c r="L61" s="1055">
        <f t="shared" si="38"/>
        <v>-1.233500294562819E-3</v>
      </c>
      <c r="M61" s="1055">
        <v>922585.33751567767</v>
      </c>
      <c r="N61" s="1421">
        <f t="shared" si="39"/>
        <v>-1138.0092855849261</v>
      </c>
      <c r="O61" s="1519">
        <f t="shared" si="35"/>
        <v>73970.603563020195</v>
      </c>
      <c r="R61" s="1516">
        <f t="shared" si="36"/>
        <v>4693872.1613786081</v>
      </c>
      <c r="S61" s="1516">
        <f t="shared" si="32"/>
        <v>73970.603563020195</v>
      </c>
    </row>
    <row r="62" spans="5:19" ht="14.25" x14ac:dyDescent="0.2">
      <c r="E62" s="1489">
        <v>19</v>
      </c>
      <c r="F62" s="988">
        <f t="shared" si="37"/>
        <v>2038</v>
      </c>
      <c r="G62" s="989">
        <v>76943.404801214376</v>
      </c>
      <c r="H62" s="989">
        <v>5001321.3120789342</v>
      </c>
      <c r="J62" s="1055">
        <v>0.15404153102545207</v>
      </c>
      <c r="K62" s="1055">
        <f t="shared" si="40"/>
        <v>4.7126984316569476E-3</v>
      </c>
      <c r="L62" s="1055">
        <f t="shared" si="38"/>
        <v>-1.272428576547376E-3</v>
      </c>
      <c r="M62" s="1055">
        <v>942731.04215165076</v>
      </c>
      <c r="N62" s="1421">
        <f t="shared" si="39"/>
        <v>-1199.5579180320492</v>
      </c>
      <c r="O62" s="1519">
        <f t="shared" si="35"/>
        <v>77971.264672083198</v>
      </c>
      <c r="R62" s="1516">
        <f t="shared" si="36"/>
        <v>5001321.3120789342</v>
      </c>
      <c r="S62" s="1516">
        <f t="shared" si="32"/>
        <v>77971.264672083198</v>
      </c>
    </row>
    <row r="63" spans="5:19" ht="14.25" x14ac:dyDescent="0.2">
      <c r="E63" s="1489">
        <v>20</v>
      </c>
      <c r="F63" s="988">
        <f t="shared" si="37"/>
        <v>2039</v>
      </c>
      <c r="G63" s="989">
        <v>81789.321251169924</v>
      </c>
      <c r="H63" s="989">
        <v>5316305.8813260449</v>
      </c>
      <c r="J63" s="1055">
        <v>0.1589029584474986</v>
      </c>
      <c r="K63" s="1055">
        <f t="shared" si="40"/>
        <v>4.8614274220465381E-3</v>
      </c>
      <c r="L63" s="1055">
        <f t="shared" si="38"/>
        <v>-1.3125854039525654E-3</v>
      </c>
      <c r="M63" s="1055">
        <v>963316.65125908738</v>
      </c>
      <c r="N63" s="1421">
        <f t="shared" si="39"/>
        <v>-1264.4353758271418</v>
      </c>
      <c r="O63" s="1519">
        <f t="shared" si="35"/>
        <v>82188.299428764221</v>
      </c>
      <c r="R63" s="1516">
        <f t="shared" si="36"/>
        <v>5316305.8813260449</v>
      </c>
      <c r="S63" s="1516">
        <f t="shared" si="32"/>
        <v>82188.299428764221</v>
      </c>
    </row>
    <row r="64" spans="5:19" ht="14.25" x14ac:dyDescent="0.2">
      <c r="E64" s="1489">
        <v>21</v>
      </c>
      <c r="F64" s="988">
        <f t="shared" si="37"/>
        <v>2040</v>
      </c>
      <c r="G64" s="989">
        <v>86753.74937976092</v>
      </c>
      <c r="H64" s="989">
        <v>5638993.7096844595</v>
      </c>
      <c r="J64" s="1055">
        <v>0.16391780862782665</v>
      </c>
      <c r="K64" s="1055">
        <f t="shared" si="40"/>
        <v>5.0148501803280454E-3</v>
      </c>
      <c r="L64" s="1055">
        <f t="shared" si="38"/>
        <v>-1.3540095486885724E-3</v>
      </c>
      <c r="M64" s="1055">
        <v>984351.77065458777</v>
      </c>
      <c r="N64" s="1421">
        <f t="shared" si="39"/>
        <v>-1332.8216967348155</v>
      </c>
      <c r="O64" s="1519">
        <f t="shared" si="35"/>
        <v>86633.410287763007</v>
      </c>
      <c r="R64" s="1516">
        <f t="shared" si="36"/>
        <v>5638993.7096844595</v>
      </c>
      <c r="S64" s="1516">
        <f t="shared" si="32"/>
        <v>86633.410287763007</v>
      </c>
    </row>
    <row r="65" spans="5:19" ht="14.25" x14ac:dyDescent="0.2">
      <c r="E65" s="1489">
        <v>22</v>
      </c>
      <c r="F65" s="988">
        <f t="shared" si="37"/>
        <v>2041</v>
      </c>
      <c r="G65" s="989">
        <v>91839.327937343362</v>
      </c>
      <c r="H65" s="989">
        <v>5969556.3159273183</v>
      </c>
      <c r="J65" s="1055">
        <v>0.16909092346588575</v>
      </c>
      <c r="K65" s="1055">
        <f t="shared" si="40"/>
        <v>5.1731148380591008E-3</v>
      </c>
      <c r="L65" s="1055">
        <f t="shared" si="38"/>
        <v>-1.3967410062759574E-3</v>
      </c>
      <c r="M65" s="1055">
        <v>1005846.2159087295</v>
      </c>
      <c r="N65" s="1421">
        <f t="shared" si="39"/>
        <v>-1404.9066557672227</v>
      </c>
      <c r="O65" s="1519">
        <f t="shared" si="35"/>
        <v>91318.932624869471</v>
      </c>
      <c r="R65" s="1516">
        <f t="shared" si="36"/>
        <v>5969556.3159273183</v>
      </c>
      <c r="S65" s="1516">
        <f t="shared" si="32"/>
        <v>91318.932624869471</v>
      </c>
    </row>
    <row r="66" spans="5:19" ht="14.25" x14ac:dyDescent="0.2">
      <c r="E66" s="1489">
        <v>23</v>
      </c>
      <c r="F66" s="988">
        <f t="shared" si="37"/>
        <v>2042</v>
      </c>
      <c r="G66" s="989">
        <v>97048.75349857338</v>
      </c>
      <c r="H66" s="989">
        <v>6308168.9774072701</v>
      </c>
      <c r="J66" s="1055">
        <v>0.17442729766759638</v>
      </c>
      <c r="K66" s="1055">
        <f t="shared" si="40"/>
        <v>5.3363742017106253E-3</v>
      </c>
      <c r="L66" s="1055">
        <f t="shared" si="38"/>
        <v>-1.440821034461869E-3</v>
      </c>
      <c r="M66" s="1055">
        <v>1027810.0169262848</v>
      </c>
      <c r="N66" s="1421">
        <f t="shared" si="39"/>
        <v>-1480.8902918180008</v>
      </c>
      <c r="O66" s="1519">
        <f t="shared" si="35"/>
        <v>96257.868968170049</v>
      </c>
      <c r="R66" s="1516">
        <f t="shared" si="36"/>
        <v>6308168.9774072701</v>
      </c>
      <c r="S66" s="1516">
        <f t="shared" si="32"/>
        <v>96257.868968170049</v>
      </c>
    </row>
    <row r="67" spans="5:19" ht="14.25" x14ac:dyDescent="0.2">
      <c r="E67" s="1489">
        <v>24</v>
      </c>
      <c r="F67" s="988">
        <f t="shared" si="37"/>
        <v>2043</v>
      </c>
      <c r="G67" s="989">
        <v>102384.78172588616</v>
      </c>
      <c r="H67" s="989">
        <v>6655010.8121826006</v>
      </c>
      <c r="J67" s="1055">
        <v>0.1799320835678003</v>
      </c>
      <c r="K67" s="1055">
        <f t="shared" si="40"/>
        <v>5.5047859002039234E-3</v>
      </c>
      <c r="L67" s="1055">
        <f t="shared" si="38"/>
        <v>-1.4862921930550595E-3</v>
      </c>
      <c r="M67" s="1055">
        <v>1050253.4226264535</v>
      </c>
      <c r="N67" s="1421">
        <f t="shared" si="39"/>
        <v>-1560.9834627790538</v>
      </c>
      <c r="O67" s="1519">
        <f t="shared" si="35"/>
        <v>101463.9250806385</v>
      </c>
      <c r="R67" s="1516">
        <f t="shared" si="36"/>
        <v>6655010.8121826006</v>
      </c>
      <c r="S67" s="1516">
        <f t="shared" si="32"/>
        <v>101463.9250806385</v>
      </c>
    </row>
    <row r="68" spans="5:19" ht="14.4" thickBot="1" x14ac:dyDescent="0.3">
      <c r="E68" s="1490" t="s">
        <v>314</v>
      </c>
      <c r="F68" s="1491"/>
      <c r="G68" s="1057">
        <f t="shared" ref="G68:H68" si="41">SUM(G47:G67)</f>
        <v>1182540.2365721543</v>
      </c>
      <c r="H68" s="1057">
        <f t="shared" si="41"/>
        <v>76865115.377190039</v>
      </c>
      <c r="J68" s="1520"/>
      <c r="K68" s="1520"/>
      <c r="L68" s="1520"/>
      <c r="M68" s="1520"/>
      <c r="N68" s="1057">
        <f t="shared" ref="N68:O68" si="42">SUM(N47:N67)</f>
        <v>-19813.487310872242</v>
      </c>
      <c r="O68" s="1481">
        <f t="shared" si="42"/>
        <v>1287876.6752066961</v>
      </c>
      <c r="R68" s="1517">
        <f>SUM(R48:R67)</f>
        <v>75770192.76297082</v>
      </c>
      <c r="S68" s="1517">
        <f>SUM(S48:S67)</f>
        <v>1287876.6752066961</v>
      </c>
    </row>
    <row r="69" spans="5:19" ht="17.399999999999999" x14ac:dyDescent="0.25">
      <c r="E69" s="995" t="s">
        <v>338</v>
      </c>
      <c r="F69" s="995"/>
      <c r="G69" s="995"/>
      <c r="H69" s="995"/>
      <c r="M69" s="1695" t="s">
        <v>904</v>
      </c>
      <c r="N69" s="1695"/>
      <c r="O69" s="1483">
        <f>SUM(O48:O67)</f>
        <v>1287876.6752066961</v>
      </c>
    </row>
    <row r="70" spans="5:19" x14ac:dyDescent="0.25">
      <c r="M70" s="1564" t="s">
        <v>866</v>
      </c>
      <c r="N70" s="1564"/>
      <c r="O70" s="1408">
        <f>O69/21</f>
        <v>61327.460724128388</v>
      </c>
    </row>
  </sheetData>
  <mergeCells count="3">
    <mergeCell ref="E16:Y16"/>
    <mergeCell ref="E32:Y32"/>
    <mergeCell ref="E43:H4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AD65"/>
  <sheetViews>
    <sheetView zoomScale="60" zoomScaleNormal="60" workbookViewId="0">
      <selection activeCell="J54" sqref="J54"/>
    </sheetView>
  </sheetViews>
  <sheetFormatPr defaultColWidth="9.109375" defaultRowHeight="13.8" x14ac:dyDescent="0.25"/>
  <cols>
    <col min="1" max="1" width="3.33203125" style="895" customWidth="1"/>
    <col min="2" max="2" width="60.6640625" style="895" bestFit="1" customWidth="1"/>
    <col min="3" max="3" width="20" style="895" bestFit="1" customWidth="1"/>
    <col min="4" max="4" width="9.109375" style="895"/>
    <col min="5" max="5" width="15.44140625" style="895" bestFit="1" customWidth="1"/>
    <col min="6" max="6" width="18.109375" style="895" bestFit="1" customWidth="1"/>
    <col min="7" max="7" width="18.6640625" style="895" bestFit="1" customWidth="1"/>
    <col min="8" max="8" width="16.44140625" style="895" bestFit="1" customWidth="1"/>
    <col min="9" max="10" width="20.6640625" style="895" bestFit="1" customWidth="1"/>
    <col min="11" max="11" width="16.44140625" style="895" customWidth="1"/>
    <col min="12" max="12" width="15.88671875" style="895" bestFit="1" customWidth="1"/>
    <col min="13" max="13" width="15" style="895" bestFit="1" customWidth="1"/>
    <col min="14" max="14" width="18.109375" style="895" bestFit="1" customWidth="1"/>
    <col min="15" max="15" width="19.88671875" style="895" customWidth="1"/>
    <col min="16" max="17" width="15.44140625" style="895" bestFit="1" customWidth="1"/>
    <col min="18" max="18" width="15.88671875" style="895" bestFit="1" customWidth="1"/>
    <col min="19" max="20" width="15.44140625" style="895" bestFit="1" customWidth="1"/>
    <col min="21" max="21" width="15" style="895" bestFit="1" customWidth="1"/>
    <col min="22" max="22" width="14.5546875" style="895" bestFit="1" customWidth="1"/>
    <col min="23" max="23" width="15.88671875" style="895" bestFit="1" customWidth="1"/>
    <col min="24" max="24" width="16.44140625" style="895" bestFit="1" customWidth="1"/>
    <col min="25" max="25" width="15.44140625" style="895" bestFit="1" customWidth="1"/>
    <col min="26" max="16384" width="9.109375" style="895"/>
  </cols>
  <sheetData>
    <row r="2" spans="2:25" ht="20.25" x14ac:dyDescent="0.3">
      <c r="B2" s="1571" t="s">
        <v>713</v>
      </c>
    </row>
    <row r="3" spans="2:25" ht="20.25" x14ac:dyDescent="0.3">
      <c r="B3" s="1571" t="s">
        <v>913</v>
      </c>
    </row>
    <row r="4" spans="2:25" ht="25.5" customHeight="1" x14ac:dyDescent="0.2">
      <c r="E4" s="949"/>
      <c r="F4" s="949"/>
      <c r="G4" s="949"/>
      <c r="H4" s="950"/>
      <c r="I4" s="950"/>
      <c r="J4" s="950"/>
      <c r="K4" s="950"/>
      <c r="L4" s="950"/>
      <c r="M4" s="950"/>
      <c r="N4" s="950"/>
      <c r="O4" s="950"/>
      <c r="P4" s="950"/>
      <c r="Q4" s="950"/>
      <c r="R4" s="950"/>
      <c r="S4" s="950"/>
      <c r="T4" s="950"/>
      <c r="U4" s="950"/>
      <c r="V4" s="950"/>
      <c r="W4" s="950"/>
      <c r="X4" s="950"/>
      <c r="Y4" s="950"/>
    </row>
    <row r="5" spans="2:25" ht="15" x14ac:dyDescent="0.2">
      <c r="B5" s="951" t="s">
        <v>914</v>
      </c>
      <c r="C5" s="1538">
        <v>5</v>
      </c>
      <c r="D5" s="949"/>
      <c r="E5" s="949"/>
      <c r="F5" s="949"/>
      <c r="G5" s="949"/>
      <c r="H5" s="950"/>
      <c r="I5" s="950"/>
      <c r="J5" s="950"/>
      <c r="K5" s="950"/>
      <c r="L5" s="950"/>
      <c r="M5" s="950"/>
      <c r="N5" s="950"/>
      <c r="O5" s="950"/>
      <c r="P5" s="950"/>
      <c r="Q5" s="950"/>
      <c r="R5" s="950"/>
      <c r="S5" s="950"/>
      <c r="T5" s="950"/>
      <c r="U5" s="950"/>
      <c r="V5" s="950"/>
      <c r="W5" s="950"/>
      <c r="X5" s="950"/>
      <c r="Y5" s="950"/>
    </row>
    <row r="6" spans="2:25" ht="15" x14ac:dyDescent="0.2">
      <c r="B6" s="1406" t="s">
        <v>999</v>
      </c>
      <c r="C6" s="1538">
        <f>C5/15</f>
        <v>0.33333333333333331</v>
      </c>
    </row>
    <row r="7" spans="2:25" ht="15" x14ac:dyDescent="0.2">
      <c r="B7" s="1679" t="s">
        <v>915</v>
      </c>
      <c r="C7" s="953">
        <v>2000000</v>
      </c>
    </row>
    <row r="8" spans="2:25" ht="15" x14ac:dyDescent="0.2">
      <c r="B8" s="1679" t="s">
        <v>1000</v>
      </c>
      <c r="C8" s="1707">
        <f>14%/(2040-2013)</f>
        <v>5.1851851851851859E-3</v>
      </c>
    </row>
    <row r="9" spans="2:25" ht="15" thickBot="1" x14ac:dyDescent="0.25"/>
    <row r="10" spans="2:25" ht="15" thickBot="1" x14ac:dyDescent="0.25">
      <c r="E10" s="719">
        <v>2023</v>
      </c>
      <c r="F10" s="717">
        <f>E10+1</f>
        <v>2024</v>
      </c>
      <c r="G10" s="717">
        <f t="shared" ref="G10" si="0">F10+1</f>
        <v>2025</v>
      </c>
      <c r="H10" s="717">
        <f t="shared" ref="H10" si="1">G10+1</f>
        <v>2026</v>
      </c>
      <c r="I10" s="717">
        <f t="shared" ref="I10" si="2">H10+1</f>
        <v>2027</v>
      </c>
      <c r="J10" s="717">
        <f t="shared" ref="J10" si="3">I10+1</f>
        <v>2028</v>
      </c>
      <c r="K10" s="717">
        <f t="shared" ref="K10" si="4">J10+1</f>
        <v>2029</v>
      </c>
      <c r="L10" s="717">
        <f t="shared" ref="L10" si="5">K10+1</f>
        <v>2030</v>
      </c>
      <c r="M10" s="717">
        <f t="shared" ref="M10" si="6">L10+1</f>
        <v>2031</v>
      </c>
      <c r="N10" s="717">
        <f t="shared" ref="N10" si="7">M10+1</f>
        <v>2032</v>
      </c>
      <c r="O10" s="717">
        <f t="shared" ref="O10" si="8">N10+1</f>
        <v>2033</v>
      </c>
      <c r="P10" s="717">
        <f t="shared" ref="P10" si="9">O10+1</f>
        <v>2034</v>
      </c>
      <c r="Q10" s="717">
        <f t="shared" ref="Q10" si="10">P10+1</f>
        <v>2035</v>
      </c>
      <c r="R10" s="717">
        <f t="shared" ref="R10" si="11">Q10+1</f>
        <v>2036</v>
      </c>
      <c r="S10" s="717">
        <f t="shared" ref="S10" si="12">R10+1</f>
        <v>2037</v>
      </c>
      <c r="T10" s="717">
        <f t="shared" ref="T10" si="13">S10+1</f>
        <v>2038</v>
      </c>
      <c r="U10" s="717">
        <f t="shared" ref="U10" si="14">T10+1</f>
        <v>2039</v>
      </c>
      <c r="V10" s="717">
        <f t="shared" ref="V10" si="15">U10+1</f>
        <v>2040</v>
      </c>
      <c r="W10" s="717">
        <f t="shared" ref="W10" si="16">V10+1</f>
        <v>2041</v>
      </c>
      <c r="X10" s="717">
        <f t="shared" ref="X10" si="17">W10+1</f>
        <v>2042</v>
      </c>
      <c r="Y10" s="718">
        <f t="shared" ref="Y10" si="18">X10+1</f>
        <v>2043</v>
      </c>
    </row>
    <row r="11" spans="2:25" ht="20.25" x14ac:dyDescent="0.2">
      <c r="B11" s="1724" t="s">
        <v>1041</v>
      </c>
      <c r="C11" s="1737"/>
      <c r="D11" s="1737"/>
      <c r="E11" s="1740">
        <f>C6*(1+C8)^(2023-2016)</f>
        <v>0.34562193668880337</v>
      </c>
      <c r="F11" s="1740">
        <f>E24*(1+$C$8)</f>
        <v>0.34741405043459717</v>
      </c>
      <c r="G11" s="1740">
        <f t="shared" ref="G11:Y11" si="19">F11*(1+$C$8)</f>
        <v>0.34921545662203579</v>
      </c>
      <c r="H11" s="1740">
        <f t="shared" si="19"/>
        <v>0.35102620343415003</v>
      </c>
      <c r="I11" s="1740">
        <f t="shared" si="19"/>
        <v>0.3528463393038086</v>
      </c>
      <c r="J11" s="1740">
        <f t="shared" si="19"/>
        <v>0.35467591291501355</v>
      </c>
      <c r="K11" s="1740">
        <f t="shared" si="19"/>
        <v>0.3565149732042025</v>
      </c>
      <c r="L11" s="1740">
        <f t="shared" si="19"/>
        <v>0.35836356936155761</v>
      </c>
      <c r="M11" s="1740">
        <f t="shared" si="19"/>
        <v>0.36022175083232122</v>
      </c>
      <c r="N11" s="1740">
        <f t="shared" si="19"/>
        <v>0.36208956731811842</v>
      </c>
      <c r="O11" s="1740">
        <f t="shared" si="19"/>
        <v>0.36396706877828644</v>
      </c>
      <c r="P11" s="1740">
        <f t="shared" si="19"/>
        <v>0.36585430543121089</v>
      </c>
      <c r="Q11" s="1740">
        <f t="shared" si="19"/>
        <v>0.36775132775566904</v>
      </c>
      <c r="R11" s="1740">
        <f t="shared" si="19"/>
        <v>0.36965818649217991</v>
      </c>
      <c r="S11" s="1740">
        <f t="shared" si="19"/>
        <v>0.37157493264436159</v>
      </c>
      <c r="T11" s="1740">
        <f t="shared" si="19"/>
        <v>0.37350161748029531</v>
      </c>
      <c r="U11" s="1740">
        <f t="shared" si="19"/>
        <v>0.37543829253389682</v>
      </c>
      <c r="V11" s="1740">
        <f t="shared" si="19"/>
        <v>0.37738500960629479</v>
      </c>
      <c r="W11" s="1740">
        <f t="shared" si="19"/>
        <v>0.37934182076721629</v>
      </c>
      <c r="X11" s="1740">
        <f t="shared" si="19"/>
        <v>0.38130877835637961</v>
      </c>
      <c r="Y11" s="1741">
        <f t="shared" si="19"/>
        <v>0.38328593498489416</v>
      </c>
    </row>
    <row r="12" spans="2:25" ht="30.75" customHeight="1" x14ac:dyDescent="0.2">
      <c r="B12" s="999" t="s">
        <v>1013</v>
      </c>
      <c r="C12" s="1735">
        <v>0.02</v>
      </c>
      <c r="D12" s="678"/>
      <c r="E12" s="1742"/>
      <c r="F12" s="1742"/>
      <c r="G12" s="1742"/>
      <c r="H12" s="1742"/>
      <c r="I12" s="1742"/>
      <c r="J12" s="1742"/>
      <c r="K12" s="1742"/>
      <c r="L12" s="1742"/>
      <c r="M12" s="1742"/>
      <c r="N12" s="1742"/>
      <c r="O12" s="1742"/>
      <c r="P12" s="1742"/>
      <c r="Q12" s="1742"/>
      <c r="R12" s="1742"/>
      <c r="S12" s="1742"/>
      <c r="T12" s="1742"/>
      <c r="U12" s="1742"/>
      <c r="V12" s="1742"/>
      <c r="W12" s="1742"/>
      <c r="X12" s="1742"/>
      <c r="Y12" s="1743"/>
    </row>
    <row r="13" spans="2:25" ht="15.75" thickBot="1" x14ac:dyDescent="0.25">
      <c r="B13" s="1727" t="s">
        <v>1042</v>
      </c>
      <c r="C13" s="1738"/>
      <c r="D13" s="1739"/>
      <c r="E13" s="1744">
        <f>C6*(1+C12)^(2023-2016)</f>
        <v>0.38289522254975994</v>
      </c>
      <c r="F13" s="1744">
        <f>E24*(1+$C$12)</f>
        <v>0.35253437542257943</v>
      </c>
      <c r="G13" s="1744">
        <f t="shared" ref="G13:Y13" si="20">F24*(1+$C$12)</f>
        <v>0.3543623314432891</v>
      </c>
      <c r="H13" s="1744">
        <f t="shared" si="20"/>
        <v>0.35619976575447654</v>
      </c>
      <c r="I13" s="1744">
        <f t="shared" si="20"/>
        <v>0.35804672750283306</v>
      </c>
      <c r="J13" s="1744">
        <f t="shared" si="20"/>
        <v>0.35990326608988477</v>
      </c>
      <c r="K13" s="1744">
        <f t="shared" si="20"/>
        <v>0.36176943117331384</v>
      </c>
      <c r="L13" s="1744">
        <f t="shared" si="20"/>
        <v>0.36364527266828656</v>
      </c>
      <c r="M13" s="1744">
        <f t="shared" si="20"/>
        <v>0.36553084074878878</v>
      </c>
      <c r="N13" s="1744">
        <f t="shared" si="20"/>
        <v>0.36742618584896763</v>
      </c>
      <c r="O13" s="1744">
        <f t="shared" si="20"/>
        <v>0.3693313586644808</v>
      </c>
      <c r="P13" s="1744">
        <f t="shared" si="20"/>
        <v>0.37124641015385218</v>
      </c>
      <c r="Q13" s="1744">
        <f t="shared" si="20"/>
        <v>0.37317139153983514</v>
      </c>
      <c r="R13" s="1744">
        <f t="shared" si="20"/>
        <v>0.37510635431078243</v>
      </c>
      <c r="S13" s="1744">
        <f t="shared" si="20"/>
        <v>0.37705135022202352</v>
      </c>
      <c r="T13" s="1744">
        <f t="shared" si="20"/>
        <v>0.37900643129724881</v>
      </c>
      <c r="U13" s="1744">
        <f t="shared" si="20"/>
        <v>0.38097164982990123</v>
      </c>
      <c r="V13" s="1744">
        <f t="shared" si="20"/>
        <v>0.38294705838457477</v>
      </c>
      <c r="W13" s="1744">
        <f t="shared" si="20"/>
        <v>0.3849327097984207</v>
      </c>
      <c r="X13" s="1744">
        <f t="shared" si="20"/>
        <v>0.38692865718256064</v>
      </c>
      <c r="Y13" s="1745">
        <f t="shared" si="20"/>
        <v>0.38893495392350719</v>
      </c>
    </row>
    <row r="14" spans="2:25" ht="15.75" thickBot="1" x14ac:dyDescent="0.25">
      <c r="B14" s="949"/>
      <c r="C14" s="1735"/>
      <c r="D14" s="678"/>
      <c r="E14" s="1708"/>
      <c r="F14" s="1708"/>
      <c r="G14" s="1708"/>
      <c r="H14" s="1708"/>
      <c r="I14" s="1708"/>
      <c r="J14" s="1708"/>
      <c r="K14" s="1708"/>
      <c r="L14" s="1708"/>
      <c r="M14" s="1708"/>
      <c r="N14" s="1708"/>
      <c r="O14" s="1708"/>
      <c r="P14" s="1708"/>
      <c r="Q14" s="1708"/>
      <c r="R14" s="1708"/>
      <c r="S14" s="1708"/>
      <c r="T14" s="1708"/>
      <c r="U14" s="1708"/>
      <c r="V14" s="1708"/>
      <c r="W14" s="1708"/>
      <c r="X14" s="1708"/>
      <c r="Y14" s="1708"/>
    </row>
    <row r="15" spans="2:25" ht="15" thickBot="1" x14ac:dyDescent="0.25">
      <c r="E15" s="712">
        <v>2023</v>
      </c>
      <c r="F15" s="417">
        <f>E15+1</f>
        <v>2024</v>
      </c>
      <c r="G15" s="417">
        <f t="shared" ref="G15:Y15" si="21">F15+1</f>
        <v>2025</v>
      </c>
      <c r="H15" s="417">
        <f t="shared" si="21"/>
        <v>2026</v>
      </c>
      <c r="I15" s="417">
        <f t="shared" si="21"/>
        <v>2027</v>
      </c>
      <c r="J15" s="417">
        <f t="shared" si="21"/>
        <v>2028</v>
      </c>
      <c r="K15" s="417">
        <f t="shared" si="21"/>
        <v>2029</v>
      </c>
      <c r="L15" s="417">
        <f t="shared" si="21"/>
        <v>2030</v>
      </c>
      <c r="M15" s="417">
        <f t="shared" si="21"/>
        <v>2031</v>
      </c>
      <c r="N15" s="417">
        <f t="shared" si="21"/>
        <v>2032</v>
      </c>
      <c r="O15" s="417">
        <f t="shared" si="21"/>
        <v>2033</v>
      </c>
      <c r="P15" s="417">
        <f t="shared" si="21"/>
        <v>2034</v>
      </c>
      <c r="Q15" s="417">
        <f t="shared" si="21"/>
        <v>2035</v>
      </c>
      <c r="R15" s="417">
        <f t="shared" si="21"/>
        <v>2036</v>
      </c>
      <c r="S15" s="417">
        <f t="shared" si="21"/>
        <v>2037</v>
      </c>
      <c r="T15" s="417">
        <f t="shared" si="21"/>
        <v>2038</v>
      </c>
      <c r="U15" s="417">
        <f t="shared" si="21"/>
        <v>2039</v>
      </c>
      <c r="V15" s="417">
        <f t="shared" si="21"/>
        <v>2040</v>
      </c>
      <c r="W15" s="417">
        <f t="shared" si="21"/>
        <v>2041</v>
      </c>
      <c r="X15" s="417">
        <f t="shared" si="21"/>
        <v>2042</v>
      </c>
      <c r="Y15" s="713">
        <f t="shared" si="21"/>
        <v>2043</v>
      </c>
    </row>
    <row r="16" spans="2:25" ht="40.5" x14ac:dyDescent="0.2">
      <c r="B16" s="1736" t="s">
        <v>1039</v>
      </c>
      <c r="C16" s="1732"/>
      <c r="D16" s="1725"/>
      <c r="E16" s="1725"/>
      <c r="F16" s="1725"/>
      <c r="G16" s="1725"/>
      <c r="H16" s="1725"/>
      <c r="I16" s="1725"/>
      <c r="J16" s="1725"/>
      <c r="K16" s="1725"/>
      <c r="L16" s="1725"/>
      <c r="M16" s="1725"/>
      <c r="N16" s="1725"/>
      <c r="O16" s="1725"/>
      <c r="P16" s="1725"/>
      <c r="Q16" s="1725"/>
      <c r="R16" s="1725"/>
      <c r="S16" s="1725"/>
      <c r="T16" s="1725"/>
      <c r="U16" s="1725"/>
      <c r="V16" s="1725"/>
      <c r="W16" s="1725"/>
      <c r="X16" s="1725"/>
      <c r="Y16" s="1726"/>
    </row>
    <row r="17" spans="2:25" s="678" customFormat="1" ht="15" x14ac:dyDescent="0.2">
      <c r="B17" s="999" t="s">
        <v>1040</v>
      </c>
      <c r="E17" s="1597">
        <f>C7</f>
        <v>2000000</v>
      </c>
      <c r="F17" s="1597">
        <f t="shared" ref="F17:Y17" si="22">D7</f>
        <v>0</v>
      </c>
      <c r="G17" s="1597">
        <f t="shared" si="22"/>
        <v>0</v>
      </c>
      <c r="H17" s="1597">
        <f t="shared" si="22"/>
        <v>0</v>
      </c>
      <c r="I17" s="1597">
        <f t="shared" si="22"/>
        <v>0</v>
      </c>
      <c r="J17" s="1597">
        <f t="shared" si="22"/>
        <v>0</v>
      </c>
      <c r="K17" s="1597">
        <f t="shared" si="22"/>
        <v>0</v>
      </c>
      <c r="L17" s="1597">
        <f t="shared" si="22"/>
        <v>0</v>
      </c>
      <c r="M17" s="1597">
        <f t="shared" si="22"/>
        <v>0</v>
      </c>
      <c r="N17" s="1597">
        <f t="shared" si="22"/>
        <v>0</v>
      </c>
      <c r="O17" s="1597">
        <f t="shared" si="22"/>
        <v>0</v>
      </c>
      <c r="P17" s="1597">
        <f t="shared" si="22"/>
        <v>0</v>
      </c>
      <c r="Q17" s="1597">
        <f t="shared" si="22"/>
        <v>0</v>
      </c>
      <c r="R17" s="1597">
        <f t="shared" si="22"/>
        <v>0</v>
      </c>
      <c r="S17" s="1597">
        <f t="shared" si="22"/>
        <v>0</v>
      </c>
      <c r="T17" s="1597">
        <f t="shared" si="22"/>
        <v>0</v>
      </c>
      <c r="U17" s="1597">
        <f t="shared" si="22"/>
        <v>0</v>
      </c>
      <c r="V17" s="1597">
        <f t="shared" si="22"/>
        <v>0</v>
      </c>
      <c r="W17" s="1597">
        <f t="shared" si="22"/>
        <v>0</v>
      </c>
      <c r="X17" s="1597">
        <f t="shared" si="22"/>
        <v>0</v>
      </c>
      <c r="Y17" s="1734">
        <f t="shared" si="22"/>
        <v>0</v>
      </c>
    </row>
    <row r="18" spans="2:25" ht="15" x14ac:dyDescent="0.2">
      <c r="B18" s="999" t="s">
        <v>1038</v>
      </c>
      <c r="C18" s="949"/>
      <c r="D18" s="949"/>
      <c r="E18" s="1731">
        <f>E17*(1+$C$19)^(2023-2016)</f>
        <v>2311165.3173105349</v>
      </c>
      <c r="F18" s="1597">
        <f>E18*(1+$C$19)</f>
        <v>2359405.4883324327</v>
      </c>
      <c r="G18" s="1597">
        <f t="shared" ref="G18:Y18" si="23">F18*(1+$C$19)</f>
        <v>2408652.5601081592</v>
      </c>
      <c r="H18" s="1597">
        <f t="shared" si="23"/>
        <v>2458927.5493361745</v>
      </c>
      <c r="I18" s="1597">
        <f t="shared" si="23"/>
        <v>2510251.9113893695</v>
      </c>
      <c r="J18" s="1597">
        <f t="shared" si="23"/>
        <v>2562647.5494713676</v>
      </c>
      <c r="K18" s="1597">
        <f t="shared" si="23"/>
        <v>2616136.8239639443</v>
      </c>
      <c r="L18" s="1597">
        <f t="shared" si="23"/>
        <v>2670742.5619695517</v>
      </c>
      <c r="M18" s="1597">
        <f t="shared" si="23"/>
        <v>2726488.0670530214</v>
      </c>
      <c r="N18" s="1597">
        <f t="shared" si="23"/>
        <v>2783397.1291866018</v>
      </c>
      <c r="O18" s="1597">
        <f t="shared" si="23"/>
        <v>2841494.0349025768</v>
      </c>
      <c r="P18" s="1597">
        <f t="shared" si="23"/>
        <v>2900803.5776577936</v>
      </c>
      <c r="Q18" s="1597">
        <f t="shared" si="23"/>
        <v>2961351.0684145284</v>
      </c>
      <c r="R18" s="1597">
        <f t="shared" si="23"/>
        <v>3023162.3464422016</v>
      </c>
      <c r="S18" s="1597">
        <f t="shared" si="23"/>
        <v>3086263.7903445545</v>
      </c>
      <c r="T18" s="1597">
        <f t="shared" si="23"/>
        <v>3150682.3293169909</v>
      </c>
      <c r="U18" s="1597">
        <f t="shared" si="23"/>
        <v>3216445.4546388919</v>
      </c>
      <c r="V18" s="1597">
        <f t="shared" si="23"/>
        <v>3283581.2314058025</v>
      </c>
      <c r="W18" s="1597">
        <f t="shared" si="23"/>
        <v>3352118.310506504</v>
      </c>
      <c r="X18" s="1597">
        <f t="shared" si="23"/>
        <v>3422085.9408500767</v>
      </c>
      <c r="Y18" s="1734">
        <f t="shared" si="23"/>
        <v>3493513.9818481752</v>
      </c>
    </row>
    <row r="19" spans="2:25" ht="15" thickBot="1" x14ac:dyDescent="0.25">
      <c r="B19" s="1727" t="s">
        <v>1036</v>
      </c>
      <c r="C19" s="1728">
        <f>'CPI Factors'!D35</f>
        <v>2.0872661362898226E-2</v>
      </c>
      <c r="D19" s="1729"/>
      <c r="E19" s="1729"/>
      <c r="F19" s="1729"/>
      <c r="G19" s="1729"/>
      <c r="H19" s="1729"/>
      <c r="I19" s="1729"/>
      <c r="J19" s="1729"/>
      <c r="K19" s="1729"/>
      <c r="L19" s="1729"/>
      <c r="M19" s="1729"/>
      <c r="N19" s="1729"/>
      <c r="O19" s="1729"/>
      <c r="P19" s="1729"/>
      <c r="Q19" s="1729"/>
      <c r="R19" s="1729"/>
      <c r="S19" s="1729"/>
      <c r="T19" s="1729"/>
      <c r="U19" s="1729"/>
      <c r="V19" s="1729"/>
      <c r="W19" s="1729"/>
      <c r="X19" s="1729"/>
      <c r="Y19" s="1730"/>
    </row>
    <row r="20" spans="2:25" ht="15" thickBot="1" x14ac:dyDescent="0.25"/>
    <row r="21" spans="2:25" ht="21" customHeight="1" thickBot="1" x14ac:dyDescent="0.25">
      <c r="B21" s="954"/>
      <c r="C21" s="955"/>
      <c r="D21" s="956"/>
      <c r="E21" s="1818" t="s">
        <v>502</v>
      </c>
      <c r="F21" s="1819"/>
      <c r="G21" s="1819"/>
      <c r="H21" s="1819"/>
      <c r="I21" s="1819"/>
      <c r="J21" s="1819"/>
      <c r="K21" s="1819"/>
      <c r="L21" s="1819"/>
      <c r="M21" s="1819"/>
      <c r="N21" s="1819"/>
      <c r="O21" s="1819"/>
      <c r="P21" s="1819"/>
      <c r="Q21" s="1819"/>
      <c r="R21" s="1819"/>
      <c r="S21" s="1819"/>
      <c r="T21" s="1819"/>
      <c r="U21" s="1819"/>
      <c r="V21" s="1819"/>
      <c r="W21" s="1819"/>
      <c r="X21" s="1819"/>
      <c r="Y21" s="1820"/>
    </row>
    <row r="22" spans="2:25" ht="15" thickBot="1" x14ac:dyDescent="0.25">
      <c r="B22" s="957"/>
      <c r="C22" s="958"/>
      <c r="D22" s="959"/>
      <c r="E22" s="719">
        <v>2023</v>
      </c>
      <c r="F22" s="717">
        <f>E22+1</f>
        <v>2024</v>
      </c>
      <c r="G22" s="717">
        <f t="shared" ref="G22:Y22" si="24">F22+1</f>
        <v>2025</v>
      </c>
      <c r="H22" s="717">
        <f t="shared" si="24"/>
        <v>2026</v>
      </c>
      <c r="I22" s="717">
        <f t="shared" si="24"/>
        <v>2027</v>
      </c>
      <c r="J22" s="717">
        <f t="shared" si="24"/>
        <v>2028</v>
      </c>
      <c r="K22" s="717">
        <f t="shared" si="24"/>
        <v>2029</v>
      </c>
      <c r="L22" s="717">
        <f t="shared" si="24"/>
        <v>2030</v>
      </c>
      <c r="M22" s="717">
        <f t="shared" si="24"/>
        <v>2031</v>
      </c>
      <c r="N22" s="717">
        <f t="shared" si="24"/>
        <v>2032</v>
      </c>
      <c r="O22" s="717">
        <f t="shared" si="24"/>
        <v>2033</v>
      </c>
      <c r="P22" s="717">
        <f t="shared" si="24"/>
        <v>2034</v>
      </c>
      <c r="Q22" s="717">
        <f t="shared" si="24"/>
        <v>2035</v>
      </c>
      <c r="R22" s="717">
        <f t="shared" si="24"/>
        <v>2036</v>
      </c>
      <c r="S22" s="717">
        <f t="shared" si="24"/>
        <v>2037</v>
      </c>
      <c r="T22" s="717">
        <f t="shared" si="24"/>
        <v>2038</v>
      </c>
      <c r="U22" s="717">
        <f t="shared" si="24"/>
        <v>2039</v>
      </c>
      <c r="V22" s="717">
        <f t="shared" si="24"/>
        <v>2040</v>
      </c>
      <c r="W22" s="717">
        <f t="shared" si="24"/>
        <v>2041</v>
      </c>
      <c r="X22" s="717">
        <f t="shared" si="24"/>
        <v>2042</v>
      </c>
      <c r="Y22" s="718">
        <f t="shared" si="24"/>
        <v>2043</v>
      </c>
    </row>
    <row r="23" spans="2:25" ht="20.25" x14ac:dyDescent="0.2">
      <c r="B23" s="960" t="s">
        <v>924</v>
      </c>
      <c r="C23" s="601"/>
      <c r="D23" s="601"/>
      <c r="E23" s="1059"/>
      <c r="F23" s="1060"/>
      <c r="G23" s="1060"/>
      <c r="H23" s="1060"/>
      <c r="I23" s="1060"/>
      <c r="J23" s="1060"/>
      <c r="K23" s="1060"/>
      <c r="L23" s="1060"/>
      <c r="M23" s="1060"/>
      <c r="N23" s="1060"/>
      <c r="O23" s="1060"/>
      <c r="P23" s="1060"/>
      <c r="Q23" s="1060"/>
      <c r="R23" s="1060"/>
      <c r="S23" s="1060"/>
      <c r="T23" s="1060"/>
      <c r="U23" s="1060"/>
      <c r="V23" s="1060"/>
      <c r="W23" s="1060"/>
      <c r="X23" s="1060"/>
      <c r="Y23" s="1061"/>
    </row>
    <row r="24" spans="2:25" ht="27.75" customHeight="1" x14ac:dyDescent="0.2">
      <c r="B24" s="999" t="s">
        <v>916</v>
      </c>
      <c r="C24" s="601"/>
      <c r="D24" s="601"/>
      <c r="E24" s="1709">
        <f>IF(BCA!$I$19=BCA!$I$18,E13,E11)</f>
        <v>0.34562193668880337</v>
      </c>
      <c r="F24" s="1708">
        <f>IF(BCA!$I$19=BCA!$I$18,F13,F11)</f>
        <v>0.34741405043459717</v>
      </c>
      <c r="G24" s="1708">
        <f>IF(BCA!$I$19=BCA!$I$18,G13,G11)</f>
        <v>0.34921545662203579</v>
      </c>
      <c r="H24" s="1708">
        <f>IF(BCA!$I$19=BCA!$I$18,H13,H11)</f>
        <v>0.35102620343415003</v>
      </c>
      <c r="I24" s="1708">
        <f>IF(BCA!$I$19=BCA!$I$18,I13,I11)</f>
        <v>0.3528463393038086</v>
      </c>
      <c r="J24" s="1708">
        <f>IF(BCA!$I$19=BCA!$I$18,J13,J11)</f>
        <v>0.35467591291501355</v>
      </c>
      <c r="K24" s="1708">
        <f>IF(BCA!$I$19=BCA!$I$18,K13,K11)</f>
        <v>0.3565149732042025</v>
      </c>
      <c r="L24" s="1708">
        <f>IF(BCA!$I$19=BCA!$I$18,L13,L11)</f>
        <v>0.35836356936155761</v>
      </c>
      <c r="M24" s="1708">
        <f>IF(BCA!$I$19=BCA!$I$18,M13,M11)</f>
        <v>0.36022175083232122</v>
      </c>
      <c r="N24" s="1708">
        <f>IF(BCA!$I$19=BCA!$I$18,N13,N11)</f>
        <v>0.36208956731811842</v>
      </c>
      <c r="O24" s="1708">
        <f>IF(BCA!$I$19=BCA!$I$18,O13,O11)</f>
        <v>0.36396706877828644</v>
      </c>
      <c r="P24" s="1708">
        <f>IF(BCA!$I$19=BCA!$I$18,P13,P11)</f>
        <v>0.36585430543121089</v>
      </c>
      <c r="Q24" s="1708">
        <f>IF(BCA!$I$19=BCA!$I$18,Q13,Q11)</f>
        <v>0.36775132775566904</v>
      </c>
      <c r="R24" s="1708">
        <f>IF(BCA!$I$19=BCA!$I$18,R13,R11)</f>
        <v>0.36965818649217991</v>
      </c>
      <c r="S24" s="1708">
        <f>IF(BCA!$I$19=BCA!$I$18,S13,S11)</f>
        <v>0.37157493264436159</v>
      </c>
      <c r="T24" s="1708">
        <f>IF(BCA!$I$19=BCA!$I$18,T13,T11)</f>
        <v>0.37350161748029531</v>
      </c>
      <c r="U24" s="1708">
        <f>IF(BCA!$I$19=BCA!$I$18,U13,U11)</f>
        <v>0.37543829253389682</v>
      </c>
      <c r="V24" s="1708">
        <f>IF(BCA!$I$19=BCA!$I$18,V13,V11)</f>
        <v>0.37738500960629479</v>
      </c>
      <c r="W24" s="1708">
        <f>IF(BCA!$I$19=BCA!$I$18,W13,W11)</f>
        <v>0.37934182076721629</v>
      </c>
      <c r="X24" s="1708">
        <f>IF(BCA!$I$19=BCA!$I$18,X13,X11)</f>
        <v>0.38130877835637961</v>
      </c>
      <c r="Y24" s="1710">
        <f>IF(BCA!$I$19=BCA!$I$18,Y13,Y11)</f>
        <v>0.38328593498489416</v>
      </c>
    </row>
    <row r="25" spans="2:25" ht="27.75" customHeight="1" x14ac:dyDescent="0.2">
      <c r="B25" s="999" t="s">
        <v>915</v>
      </c>
      <c r="C25" s="965" t="s">
        <v>343</v>
      </c>
      <c r="D25" s="985"/>
      <c r="E25" s="1511">
        <f>$C$7</f>
        <v>2000000</v>
      </c>
      <c r="F25" s="982">
        <f t="shared" ref="F25:Y25" si="25">$C$7</f>
        <v>2000000</v>
      </c>
      <c r="G25" s="982">
        <f t="shared" si="25"/>
        <v>2000000</v>
      </c>
      <c r="H25" s="982">
        <f t="shared" si="25"/>
        <v>2000000</v>
      </c>
      <c r="I25" s="982">
        <f t="shared" si="25"/>
        <v>2000000</v>
      </c>
      <c r="J25" s="982">
        <f t="shared" si="25"/>
        <v>2000000</v>
      </c>
      <c r="K25" s="982">
        <f t="shared" si="25"/>
        <v>2000000</v>
      </c>
      <c r="L25" s="982">
        <f t="shared" si="25"/>
        <v>2000000</v>
      </c>
      <c r="M25" s="982">
        <f t="shared" si="25"/>
        <v>2000000</v>
      </c>
      <c r="N25" s="982">
        <f t="shared" si="25"/>
        <v>2000000</v>
      </c>
      <c r="O25" s="982">
        <f t="shared" si="25"/>
        <v>2000000</v>
      </c>
      <c r="P25" s="982">
        <f t="shared" si="25"/>
        <v>2000000</v>
      </c>
      <c r="Q25" s="982">
        <f t="shared" si="25"/>
        <v>2000000</v>
      </c>
      <c r="R25" s="982">
        <f t="shared" si="25"/>
        <v>2000000</v>
      </c>
      <c r="S25" s="982">
        <f t="shared" si="25"/>
        <v>2000000</v>
      </c>
      <c r="T25" s="982">
        <f t="shared" si="25"/>
        <v>2000000</v>
      </c>
      <c r="U25" s="982">
        <f t="shared" si="25"/>
        <v>2000000</v>
      </c>
      <c r="V25" s="982">
        <f t="shared" si="25"/>
        <v>2000000</v>
      </c>
      <c r="W25" s="982">
        <f t="shared" si="25"/>
        <v>2000000</v>
      </c>
      <c r="X25" s="982">
        <f t="shared" si="25"/>
        <v>2000000</v>
      </c>
      <c r="Y25" s="983">
        <f t="shared" si="25"/>
        <v>2000000</v>
      </c>
    </row>
    <row r="26" spans="2:25" ht="27.75" customHeight="1" thickBot="1" x14ac:dyDescent="0.25">
      <c r="B26" s="1002" t="s">
        <v>917</v>
      </c>
      <c r="C26" s="975" t="s">
        <v>344</v>
      </c>
      <c r="D26" s="1341"/>
      <c r="E26" s="1542">
        <f>E24*E25</f>
        <v>691243.87337760674</v>
      </c>
      <c r="F26" s="1543">
        <f t="shared" ref="F26:Y26" si="26">F24*F25</f>
        <v>694828.10086919437</v>
      </c>
      <c r="G26" s="1543">
        <f t="shared" si="26"/>
        <v>698430.91324407153</v>
      </c>
      <c r="H26" s="1543">
        <f t="shared" si="26"/>
        <v>702052.40686830005</v>
      </c>
      <c r="I26" s="1543">
        <f t="shared" si="26"/>
        <v>705692.67860761716</v>
      </c>
      <c r="J26" s="1543">
        <f t="shared" si="26"/>
        <v>709351.82583002711</v>
      </c>
      <c r="K26" s="1543">
        <f t="shared" si="26"/>
        <v>713029.94640840497</v>
      </c>
      <c r="L26" s="1543">
        <f t="shared" si="26"/>
        <v>716727.1387231152</v>
      </c>
      <c r="M26" s="1543">
        <f t="shared" si="26"/>
        <v>720443.50166464248</v>
      </c>
      <c r="N26" s="1543">
        <f t="shared" si="26"/>
        <v>724179.13463623682</v>
      </c>
      <c r="O26" s="1543">
        <f t="shared" si="26"/>
        <v>727934.13755657291</v>
      </c>
      <c r="P26" s="1543">
        <f t="shared" si="26"/>
        <v>731708.6108624218</v>
      </c>
      <c r="Q26" s="1543">
        <f t="shared" si="26"/>
        <v>735502.65551133803</v>
      </c>
      <c r="R26" s="1543">
        <f t="shared" si="26"/>
        <v>739316.37298435986</v>
      </c>
      <c r="S26" s="1543">
        <f t="shared" si="26"/>
        <v>743149.86528872314</v>
      </c>
      <c r="T26" s="1543">
        <f t="shared" si="26"/>
        <v>747003.23496059061</v>
      </c>
      <c r="U26" s="1543">
        <f t="shared" si="26"/>
        <v>750876.58506779361</v>
      </c>
      <c r="V26" s="1543">
        <f t="shared" si="26"/>
        <v>754770.0192125896</v>
      </c>
      <c r="W26" s="1543">
        <f t="shared" si="26"/>
        <v>758683.64153443254</v>
      </c>
      <c r="X26" s="1543">
        <f t="shared" si="26"/>
        <v>762617.55671275919</v>
      </c>
      <c r="Y26" s="1544">
        <f t="shared" si="26"/>
        <v>766571.86996978836</v>
      </c>
    </row>
    <row r="27" spans="2:25" ht="15.75" thickBot="1" x14ac:dyDescent="0.25">
      <c r="B27" s="1003"/>
      <c r="C27" s="965"/>
      <c r="D27" s="958"/>
      <c r="E27" s="958"/>
      <c r="F27" s="967"/>
      <c r="G27" s="967"/>
      <c r="H27" s="967"/>
      <c r="I27" s="967"/>
      <c r="J27" s="967"/>
      <c r="K27" s="967"/>
      <c r="L27" s="967"/>
      <c r="M27" s="967"/>
      <c r="N27" s="967"/>
      <c r="O27" s="967"/>
      <c r="P27" s="967"/>
      <c r="Q27" s="967"/>
      <c r="R27" s="967"/>
      <c r="S27" s="967"/>
      <c r="T27" s="967"/>
      <c r="U27" s="967"/>
      <c r="V27" s="967"/>
      <c r="W27" s="967"/>
      <c r="X27" s="967"/>
      <c r="Y27" s="967"/>
    </row>
    <row r="28" spans="2:25" ht="21" customHeight="1" thickBot="1" x14ac:dyDescent="0.25">
      <c r="B28" s="954"/>
      <c r="C28" s="955"/>
      <c r="D28" s="956"/>
      <c r="E28" s="1818" t="s">
        <v>503</v>
      </c>
      <c r="F28" s="1819"/>
      <c r="G28" s="1819"/>
      <c r="H28" s="1819"/>
      <c r="I28" s="1819"/>
      <c r="J28" s="1819"/>
      <c r="K28" s="1819"/>
      <c r="L28" s="1819"/>
      <c r="M28" s="1819"/>
      <c r="N28" s="1819"/>
      <c r="O28" s="1819"/>
      <c r="P28" s="1819"/>
      <c r="Q28" s="1819"/>
      <c r="R28" s="1819"/>
      <c r="S28" s="1819"/>
      <c r="T28" s="1819"/>
      <c r="U28" s="1819"/>
      <c r="V28" s="1819"/>
      <c r="W28" s="1819"/>
      <c r="X28" s="1819"/>
      <c r="Y28" s="1820"/>
    </row>
    <row r="29" spans="2:25" ht="15" thickBot="1" x14ac:dyDescent="0.25">
      <c r="B29" s="957"/>
      <c r="C29" s="958"/>
      <c r="D29" s="959"/>
      <c r="E29" s="719">
        <v>2023</v>
      </c>
      <c r="F29" s="717">
        <f>E29+1</f>
        <v>2024</v>
      </c>
      <c r="G29" s="717">
        <f t="shared" ref="G29" si="27">F29+1</f>
        <v>2025</v>
      </c>
      <c r="H29" s="717">
        <f t="shared" ref="H29" si="28">G29+1</f>
        <v>2026</v>
      </c>
      <c r="I29" s="717">
        <f t="shared" ref="I29" si="29">H29+1</f>
        <v>2027</v>
      </c>
      <c r="J29" s="717">
        <f t="shared" ref="J29" si="30">I29+1</f>
        <v>2028</v>
      </c>
      <c r="K29" s="717">
        <f t="shared" ref="K29" si="31">J29+1</f>
        <v>2029</v>
      </c>
      <c r="L29" s="717">
        <f t="shared" ref="L29" si="32">K29+1</f>
        <v>2030</v>
      </c>
      <c r="M29" s="717">
        <f t="shared" ref="M29" si="33">L29+1</f>
        <v>2031</v>
      </c>
      <c r="N29" s="717">
        <f t="shared" ref="N29" si="34">M29+1</f>
        <v>2032</v>
      </c>
      <c r="O29" s="717">
        <f t="shared" ref="O29" si="35">N29+1</f>
        <v>2033</v>
      </c>
      <c r="P29" s="717">
        <f t="shared" ref="P29" si="36">O29+1</f>
        <v>2034</v>
      </c>
      <c r="Q29" s="717">
        <f t="shared" ref="Q29" si="37">P29+1</f>
        <v>2035</v>
      </c>
      <c r="R29" s="717">
        <f t="shared" ref="R29" si="38">Q29+1</f>
        <v>2036</v>
      </c>
      <c r="S29" s="717">
        <f t="shared" ref="S29" si="39">R29+1</f>
        <v>2037</v>
      </c>
      <c r="T29" s="717">
        <f t="shared" ref="T29" si="40">S29+1</f>
        <v>2038</v>
      </c>
      <c r="U29" s="717">
        <f t="shared" ref="U29" si="41">T29+1</f>
        <v>2039</v>
      </c>
      <c r="V29" s="717">
        <f t="shared" ref="V29" si="42">U29+1</f>
        <v>2040</v>
      </c>
      <c r="W29" s="717">
        <f t="shared" ref="W29" si="43">V29+1</f>
        <v>2041</v>
      </c>
      <c r="X29" s="717">
        <f t="shared" ref="X29" si="44">W29+1</f>
        <v>2042</v>
      </c>
      <c r="Y29" s="718">
        <f t="shared" ref="Y29" si="45">X29+1</f>
        <v>2043</v>
      </c>
    </row>
    <row r="30" spans="2:25" ht="20.25" x14ac:dyDescent="0.2">
      <c r="B30" s="960" t="s">
        <v>924</v>
      </c>
      <c r="C30" s="601"/>
      <c r="D30" s="601"/>
      <c r="E30" s="1059"/>
      <c r="F30" s="1060"/>
      <c r="G30" s="1060"/>
      <c r="H30" s="1060"/>
      <c r="I30" s="1060"/>
      <c r="J30" s="1060"/>
      <c r="K30" s="1060"/>
      <c r="L30" s="1060"/>
      <c r="M30" s="1060"/>
      <c r="N30" s="1060"/>
      <c r="O30" s="1060"/>
      <c r="P30" s="1060"/>
      <c r="Q30" s="1060"/>
      <c r="R30" s="1060"/>
      <c r="S30" s="1060"/>
      <c r="T30" s="1060"/>
      <c r="U30" s="1060"/>
      <c r="V30" s="1060"/>
      <c r="W30" s="1060"/>
      <c r="X30" s="1060"/>
      <c r="Y30" s="1061"/>
    </row>
    <row r="31" spans="2:25" ht="27.75" customHeight="1" x14ac:dyDescent="0.2">
      <c r="B31" s="999" t="s">
        <v>923</v>
      </c>
      <c r="C31" s="601"/>
      <c r="D31" s="601"/>
      <c r="E31" s="1539">
        <f>-IF(BCA!$I$19=BCA!$I$18,E13,E11)</f>
        <v>-0.34562193668880337</v>
      </c>
      <c r="F31" s="1540">
        <f>-IF(BCA!$I$19=BCA!$I$18,F13,F11)</f>
        <v>-0.34741405043459717</v>
      </c>
      <c r="G31" s="1540">
        <f>-IF(BCA!$I$19=BCA!$I$18,G13,G11)</f>
        <v>-0.34921545662203579</v>
      </c>
      <c r="H31" s="1540">
        <f>-IF(BCA!$I$19=BCA!$I$18,H13,H11)</f>
        <v>-0.35102620343415003</v>
      </c>
      <c r="I31" s="1540">
        <f>-IF(BCA!$I$19=BCA!$I$18,I13,I11)</f>
        <v>-0.3528463393038086</v>
      </c>
      <c r="J31" s="1540">
        <f>-IF(BCA!$I$19=BCA!$I$18,J13,J11)</f>
        <v>-0.35467591291501355</v>
      </c>
      <c r="K31" s="1540">
        <f>-IF(BCA!$I$19=BCA!$I$18,K13,K11)</f>
        <v>-0.3565149732042025</v>
      </c>
      <c r="L31" s="1540">
        <f>-IF(BCA!$I$19=BCA!$I$18,L13,L11)</f>
        <v>-0.35836356936155761</v>
      </c>
      <c r="M31" s="1540">
        <f>-IF(BCA!$I$19=BCA!$I$18,M13,M11)</f>
        <v>-0.36022175083232122</v>
      </c>
      <c r="N31" s="1540">
        <f>-IF(BCA!$I$19=BCA!$I$18,N13,N11)</f>
        <v>-0.36208956731811842</v>
      </c>
      <c r="O31" s="1540">
        <f>-IF(BCA!$I$19=BCA!$I$18,O13,O11)</f>
        <v>-0.36396706877828644</v>
      </c>
      <c r="P31" s="1540">
        <f>-IF(BCA!$I$19=BCA!$I$18,P13,P11)</f>
        <v>-0.36585430543121089</v>
      </c>
      <c r="Q31" s="1540">
        <f>-IF(BCA!$I$19=BCA!$I$18,Q13,Q11)</f>
        <v>-0.36775132775566904</v>
      </c>
      <c r="R31" s="1540">
        <f>-IF(BCA!$I$19=BCA!$I$18,R13,R11)</f>
        <v>-0.36965818649217991</v>
      </c>
      <c r="S31" s="1540">
        <f>-IF(BCA!$I$19=BCA!$I$18,S13,S11)</f>
        <v>-0.37157493264436159</v>
      </c>
      <c r="T31" s="1540">
        <f>-IF(BCA!$I$19=BCA!$I$18,T13,T11)</f>
        <v>-0.37350161748029531</v>
      </c>
      <c r="U31" s="1540">
        <f>-IF(BCA!$I$19=BCA!$I$18,U13,U11)</f>
        <v>-0.37543829253389682</v>
      </c>
      <c r="V31" s="1540">
        <f>-IF(BCA!$I$19=BCA!$I$18,V13,V11)</f>
        <v>-0.37738500960629479</v>
      </c>
      <c r="W31" s="1540">
        <f>-IF(BCA!$I$19=BCA!$I$18,W13,W11)</f>
        <v>-0.37934182076721629</v>
      </c>
      <c r="X31" s="1540">
        <f>-IF(BCA!$I$19=BCA!$I$18,X13,X11)</f>
        <v>-0.38130877835637961</v>
      </c>
      <c r="Y31" s="1541">
        <f>-IF(BCA!$I$19=BCA!$I$18,Y13,Y11)</f>
        <v>-0.38328593498489416</v>
      </c>
    </row>
    <row r="32" spans="2:25" ht="27.75" customHeight="1" x14ac:dyDescent="0.2">
      <c r="B32" s="999" t="s">
        <v>915</v>
      </c>
      <c r="C32" s="965" t="s">
        <v>343</v>
      </c>
      <c r="D32" s="985"/>
      <c r="E32" s="1511">
        <f>$C$7</f>
        <v>2000000</v>
      </c>
      <c r="F32" s="982">
        <f t="shared" ref="F32:Y32" si="46">$C$7</f>
        <v>2000000</v>
      </c>
      <c r="G32" s="982">
        <f t="shared" si="46"/>
        <v>2000000</v>
      </c>
      <c r="H32" s="982">
        <f t="shared" si="46"/>
        <v>2000000</v>
      </c>
      <c r="I32" s="982">
        <f t="shared" si="46"/>
        <v>2000000</v>
      </c>
      <c r="J32" s="982">
        <f t="shared" si="46"/>
        <v>2000000</v>
      </c>
      <c r="K32" s="982">
        <f t="shared" si="46"/>
        <v>2000000</v>
      </c>
      <c r="L32" s="982">
        <f t="shared" si="46"/>
        <v>2000000</v>
      </c>
      <c r="M32" s="982">
        <f t="shared" si="46"/>
        <v>2000000</v>
      </c>
      <c r="N32" s="982">
        <f t="shared" si="46"/>
        <v>2000000</v>
      </c>
      <c r="O32" s="982">
        <f t="shared" si="46"/>
        <v>2000000</v>
      </c>
      <c r="P32" s="982">
        <f t="shared" si="46"/>
        <v>2000000</v>
      </c>
      <c r="Q32" s="982">
        <f t="shared" si="46"/>
        <v>2000000</v>
      </c>
      <c r="R32" s="982">
        <f t="shared" si="46"/>
        <v>2000000</v>
      </c>
      <c r="S32" s="982">
        <f t="shared" si="46"/>
        <v>2000000</v>
      </c>
      <c r="T32" s="982">
        <f t="shared" si="46"/>
        <v>2000000</v>
      </c>
      <c r="U32" s="982">
        <f t="shared" si="46"/>
        <v>2000000</v>
      </c>
      <c r="V32" s="982">
        <f t="shared" si="46"/>
        <v>2000000</v>
      </c>
      <c r="W32" s="982">
        <f t="shared" si="46"/>
        <v>2000000</v>
      </c>
      <c r="X32" s="982">
        <f t="shared" si="46"/>
        <v>2000000</v>
      </c>
      <c r="Y32" s="983">
        <f t="shared" si="46"/>
        <v>2000000</v>
      </c>
    </row>
    <row r="33" spans="2:30" ht="27.75" customHeight="1" thickBot="1" x14ac:dyDescent="0.25">
      <c r="B33" s="1002" t="s">
        <v>917</v>
      </c>
      <c r="C33" s="975" t="s">
        <v>344</v>
      </c>
      <c r="D33" s="1341"/>
      <c r="E33" s="1542">
        <f>E31*E32</f>
        <v>-691243.87337760674</v>
      </c>
      <c r="F33" s="1543">
        <f t="shared" ref="F33:Y33" si="47">F31*F32</f>
        <v>-694828.10086919437</v>
      </c>
      <c r="G33" s="1543">
        <f t="shared" si="47"/>
        <v>-698430.91324407153</v>
      </c>
      <c r="H33" s="1543">
        <f t="shared" si="47"/>
        <v>-702052.40686830005</v>
      </c>
      <c r="I33" s="1543">
        <f t="shared" si="47"/>
        <v>-705692.67860761716</v>
      </c>
      <c r="J33" s="1543">
        <f t="shared" si="47"/>
        <v>-709351.82583002711</v>
      </c>
      <c r="K33" s="1543">
        <f t="shared" si="47"/>
        <v>-713029.94640840497</v>
      </c>
      <c r="L33" s="1543">
        <f t="shared" si="47"/>
        <v>-716727.1387231152</v>
      </c>
      <c r="M33" s="1543">
        <f t="shared" si="47"/>
        <v>-720443.50166464248</v>
      </c>
      <c r="N33" s="1543">
        <f t="shared" si="47"/>
        <v>-724179.13463623682</v>
      </c>
      <c r="O33" s="1543">
        <f t="shared" si="47"/>
        <v>-727934.13755657291</v>
      </c>
      <c r="P33" s="1543">
        <f t="shared" si="47"/>
        <v>-731708.6108624218</v>
      </c>
      <c r="Q33" s="1543">
        <f t="shared" si="47"/>
        <v>-735502.65551133803</v>
      </c>
      <c r="R33" s="1543">
        <f t="shared" si="47"/>
        <v>-739316.37298435986</v>
      </c>
      <c r="S33" s="1543">
        <f t="shared" si="47"/>
        <v>-743149.86528872314</v>
      </c>
      <c r="T33" s="1543">
        <f t="shared" si="47"/>
        <v>-747003.23496059061</v>
      </c>
      <c r="U33" s="1543">
        <f t="shared" si="47"/>
        <v>-750876.58506779361</v>
      </c>
      <c r="V33" s="1543">
        <f t="shared" si="47"/>
        <v>-754770.0192125896</v>
      </c>
      <c r="W33" s="1543">
        <f t="shared" si="47"/>
        <v>-758683.64153443254</v>
      </c>
      <c r="X33" s="1543">
        <f t="shared" si="47"/>
        <v>-762617.55671275919</v>
      </c>
      <c r="Y33" s="1544">
        <f t="shared" si="47"/>
        <v>-766571.86996978836</v>
      </c>
    </row>
    <row r="36" spans="2:30" ht="18" x14ac:dyDescent="0.2">
      <c r="E36" s="1416" t="s">
        <v>922</v>
      </c>
      <c r="F36" s="1416"/>
      <c r="G36" s="1416"/>
      <c r="H36" s="1416"/>
      <c r="I36" s="1416"/>
      <c r="J36" s="1416"/>
      <c r="N36" s="1416" t="s">
        <v>605</v>
      </c>
      <c r="O36" s="945"/>
      <c r="P36" s="1416" t="s">
        <v>605</v>
      </c>
      <c r="W36" s="958"/>
      <c r="X36" s="958"/>
      <c r="Y36" s="958"/>
      <c r="AD36" s="958"/>
    </row>
    <row r="37" spans="2:30" ht="18.75" thickBot="1" x14ac:dyDescent="0.25">
      <c r="E37" s="1416" t="s">
        <v>858</v>
      </c>
      <c r="F37" s="1522"/>
      <c r="G37" s="1522"/>
      <c r="H37" s="1416" t="s">
        <v>857</v>
      </c>
      <c r="I37" s="1420"/>
      <c r="J37" s="1420"/>
      <c r="N37" s="1416" t="s">
        <v>858</v>
      </c>
      <c r="P37" s="1416" t="s">
        <v>857</v>
      </c>
      <c r="S37" s="984"/>
      <c r="T37" s="958"/>
      <c r="U37" s="958"/>
      <c r="W37" s="958"/>
      <c r="X37" s="958"/>
      <c r="Y37" s="958"/>
      <c r="AD37" s="958"/>
    </row>
    <row r="38" spans="2:30" ht="16.5" thickBot="1" x14ac:dyDescent="0.25">
      <c r="E38" s="1546" t="s">
        <v>182</v>
      </c>
      <c r="F38" s="1547" t="s">
        <v>180</v>
      </c>
      <c r="G38" s="1487" t="s">
        <v>178</v>
      </c>
      <c r="H38" s="1484" t="s">
        <v>182</v>
      </c>
      <c r="I38" s="1485" t="s">
        <v>180</v>
      </c>
      <c r="J38" s="1487" t="s">
        <v>178</v>
      </c>
      <c r="N38" s="984"/>
      <c r="P38" s="984"/>
      <c r="S38" s="984"/>
      <c r="T38" s="958"/>
      <c r="U38" s="958"/>
      <c r="W38" s="958"/>
      <c r="X38" s="958"/>
      <c r="Y38" s="958"/>
      <c r="AD38" s="985"/>
    </row>
    <row r="39" spans="2:30" ht="38.25" x14ac:dyDescent="0.2">
      <c r="E39" s="1513" t="s">
        <v>7</v>
      </c>
      <c r="F39" s="1514" t="s">
        <v>275</v>
      </c>
      <c r="G39" s="1545" t="s">
        <v>917</v>
      </c>
      <c r="H39" s="1513" t="s">
        <v>7</v>
      </c>
      <c r="I39" s="1514" t="s">
        <v>275</v>
      </c>
      <c r="J39" s="1545" t="s">
        <v>917</v>
      </c>
      <c r="N39" s="1515" t="s">
        <v>674</v>
      </c>
      <c r="P39" s="1515" t="s">
        <v>674</v>
      </c>
    </row>
    <row r="40" spans="2:30" ht="14.25" x14ac:dyDescent="0.2">
      <c r="E40" s="1489">
        <v>4</v>
      </c>
      <c r="F40" s="988">
        <v>2023</v>
      </c>
      <c r="G40" s="1512">
        <f t="array" ref="G40:G60">TRANSPOSE(E33:Y33)</f>
        <v>-691243.87337760674</v>
      </c>
      <c r="H40" s="1489">
        <v>4</v>
      </c>
      <c r="I40" s="988">
        <v>2023</v>
      </c>
      <c r="J40" s="1512">
        <f t="array" ref="J40:J60">TRANSPOSE(E26:Y26)</f>
        <v>691243.87337760674</v>
      </c>
      <c r="N40" s="1516">
        <f>G40</f>
        <v>-691243.87337760674</v>
      </c>
      <c r="P40" s="1516">
        <f t="shared" ref="P40:P60" si="48">J40</f>
        <v>691243.87337760674</v>
      </c>
    </row>
    <row r="41" spans="2:30" ht="15" customHeight="1" x14ac:dyDescent="0.2">
      <c r="E41" s="1489">
        <v>5</v>
      </c>
      <c r="F41" s="988">
        <f>F40+1</f>
        <v>2024</v>
      </c>
      <c r="G41" s="1512">
        <v>-694828.10086919437</v>
      </c>
      <c r="H41" s="1489">
        <v>5</v>
      </c>
      <c r="I41" s="988">
        <f>I40+1</f>
        <v>2024</v>
      </c>
      <c r="J41" s="1512">
        <v>694828.10086919437</v>
      </c>
      <c r="N41" s="1516">
        <f t="shared" ref="N41:N60" si="49">G41</f>
        <v>-694828.10086919437</v>
      </c>
      <c r="P41" s="1516">
        <f t="shared" si="48"/>
        <v>694828.10086919437</v>
      </c>
    </row>
    <row r="42" spans="2:30" ht="14.25" x14ac:dyDescent="0.2">
      <c r="E42" s="1489">
        <v>6</v>
      </c>
      <c r="F42" s="988">
        <f t="shared" ref="F42:F60" si="50">F41+1</f>
        <v>2025</v>
      </c>
      <c r="G42" s="1512">
        <v>-698430.91324407153</v>
      </c>
      <c r="H42" s="1489">
        <v>6</v>
      </c>
      <c r="I42" s="988">
        <f t="shared" ref="I42:I60" si="51">I41+1</f>
        <v>2025</v>
      </c>
      <c r="J42" s="1512">
        <v>698430.91324407153</v>
      </c>
      <c r="N42" s="1516">
        <f t="shared" si="49"/>
        <v>-698430.91324407153</v>
      </c>
      <c r="P42" s="1516">
        <f t="shared" si="48"/>
        <v>698430.91324407153</v>
      </c>
    </row>
    <row r="43" spans="2:30" ht="14.25" x14ac:dyDescent="0.2">
      <c r="E43" s="1489">
        <v>7</v>
      </c>
      <c r="F43" s="988">
        <f t="shared" si="50"/>
        <v>2026</v>
      </c>
      <c r="G43" s="1512">
        <v>-702052.40686830005</v>
      </c>
      <c r="H43" s="1489">
        <v>7</v>
      </c>
      <c r="I43" s="988">
        <f t="shared" si="51"/>
        <v>2026</v>
      </c>
      <c r="J43" s="1512">
        <v>702052.40686830005</v>
      </c>
      <c r="N43" s="1516">
        <f t="shared" si="49"/>
        <v>-702052.40686830005</v>
      </c>
      <c r="P43" s="1516">
        <f t="shared" si="48"/>
        <v>702052.40686830005</v>
      </c>
    </row>
    <row r="44" spans="2:30" ht="14.25" x14ac:dyDescent="0.2">
      <c r="E44" s="1489">
        <v>8</v>
      </c>
      <c r="F44" s="988">
        <f t="shared" si="50"/>
        <v>2027</v>
      </c>
      <c r="G44" s="1512">
        <v>-705692.67860761716</v>
      </c>
      <c r="H44" s="1489">
        <v>8</v>
      </c>
      <c r="I44" s="988">
        <f t="shared" si="51"/>
        <v>2027</v>
      </c>
      <c r="J44" s="1512">
        <v>705692.67860761716</v>
      </c>
      <c r="N44" s="1516">
        <f t="shared" si="49"/>
        <v>-705692.67860761716</v>
      </c>
      <c r="P44" s="1516">
        <f t="shared" si="48"/>
        <v>705692.67860761716</v>
      </c>
    </row>
    <row r="45" spans="2:30" x14ac:dyDescent="0.25">
      <c r="E45" s="1489">
        <v>9</v>
      </c>
      <c r="F45" s="988">
        <f t="shared" si="50"/>
        <v>2028</v>
      </c>
      <c r="G45" s="1512">
        <v>-709351.82583002711</v>
      </c>
      <c r="H45" s="1489">
        <v>9</v>
      </c>
      <c r="I45" s="988">
        <f t="shared" si="51"/>
        <v>2028</v>
      </c>
      <c r="J45" s="1512">
        <v>709351.82583002711</v>
      </c>
      <c r="N45" s="1516">
        <f t="shared" si="49"/>
        <v>-709351.82583002711</v>
      </c>
      <c r="P45" s="1516">
        <f t="shared" si="48"/>
        <v>709351.82583002711</v>
      </c>
    </row>
    <row r="46" spans="2:30" x14ac:dyDescent="0.25">
      <c r="E46" s="1489">
        <v>10</v>
      </c>
      <c r="F46" s="988">
        <f t="shared" si="50"/>
        <v>2029</v>
      </c>
      <c r="G46" s="1512">
        <v>-713029.94640840497</v>
      </c>
      <c r="H46" s="1489">
        <v>10</v>
      </c>
      <c r="I46" s="988">
        <f t="shared" si="51"/>
        <v>2029</v>
      </c>
      <c r="J46" s="1512">
        <v>713029.94640840497</v>
      </c>
      <c r="N46" s="1516">
        <f t="shared" si="49"/>
        <v>-713029.94640840497</v>
      </c>
      <c r="P46" s="1516">
        <f t="shared" si="48"/>
        <v>713029.94640840497</v>
      </c>
    </row>
    <row r="47" spans="2:30" x14ac:dyDescent="0.25">
      <c r="E47" s="1489">
        <v>11</v>
      </c>
      <c r="F47" s="988">
        <f t="shared" si="50"/>
        <v>2030</v>
      </c>
      <c r="G47" s="1512">
        <v>-716727.1387231152</v>
      </c>
      <c r="H47" s="1489">
        <v>11</v>
      </c>
      <c r="I47" s="988">
        <f t="shared" si="51"/>
        <v>2030</v>
      </c>
      <c r="J47" s="1512">
        <v>716727.1387231152</v>
      </c>
      <c r="N47" s="1516">
        <f t="shared" si="49"/>
        <v>-716727.1387231152</v>
      </c>
      <c r="P47" s="1516">
        <f t="shared" si="48"/>
        <v>716727.1387231152</v>
      </c>
    </row>
    <row r="48" spans="2:30" x14ac:dyDescent="0.25">
      <c r="E48" s="1489">
        <v>12</v>
      </c>
      <c r="F48" s="988">
        <f t="shared" si="50"/>
        <v>2031</v>
      </c>
      <c r="G48" s="1512">
        <v>-720443.50166464248</v>
      </c>
      <c r="H48" s="1489">
        <v>12</v>
      </c>
      <c r="I48" s="988">
        <f t="shared" si="51"/>
        <v>2031</v>
      </c>
      <c r="J48" s="1512">
        <v>720443.50166464248</v>
      </c>
      <c r="N48" s="1516">
        <f t="shared" si="49"/>
        <v>-720443.50166464248</v>
      </c>
      <c r="P48" s="1516">
        <f t="shared" si="48"/>
        <v>720443.50166464248</v>
      </c>
    </row>
    <row r="49" spans="5:16" x14ac:dyDescent="0.25">
      <c r="E49" s="1489">
        <v>13</v>
      </c>
      <c r="F49" s="988">
        <f t="shared" si="50"/>
        <v>2032</v>
      </c>
      <c r="G49" s="1512">
        <v>-724179.13463623682</v>
      </c>
      <c r="H49" s="1489">
        <v>13</v>
      </c>
      <c r="I49" s="988">
        <f t="shared" si="51"/>
        <v>2032</v>
      </c>
      <c r="J49" s="1512">
        <v>724179.13463623682</v>
      </c>
      <c r="N49" s="1516">
        <f t="shared" si="49"/>
        <v>-724179.13463623682</v>
      </c>
      <c r="P49" s="1516">
        <f t="shared" si="48"/>
        <v>724179.13463623682</v>
      </c>
    </row>
    <row r="50" spans="5:16" x14ac:dyDescent="0.25">
      <c r="E50" s="1489">
        <v>14</v>
      </c>
      <c r="F50" s="988">
        <f t="shared" si="50"/>
        <v>2033</v>
      </c>
      <c r="G50" s="1512">
        <v>-727934.13755657291</v>
      </c>
      <c r="H50" s="1489">
        <v>14</v>
      </c>
      <c r="I50" s="988">
        <f t="shared" si="51"/>
        <v>2033</v>
      </c>
      <c r="J50" s="1512">
        <v>727934.13755657291</v>
      </c>
      <c r="N50" s="1516">
        <f t="shared" si="49"/>
        <v>-727934.13755657291</v>
      </c>
      <c r="P50" s="1516">
        <f t="shared" si="48"/>
        <v>727934.13755657291</v>
      </c>
    </row>
    <row r="51" spans="5:16" x14ac:dyDescent="0.25">
      <c r="E51" s="1489">
        <v>15</v>
      </c>
      <c r="F51" s="988">
        <f t="shared" si="50"/>
        <v>2034</v>
      </c>
      <c r="G51" s="1512">
        <v>-731708.6108624218</v>
      </c>
      <c r="H51" s="1489">
        <v>15</v>
      </c>
      <c r="I51" s="988">
        <f t="shared" si="51"/>
        <v>2034</v>
      </c>
      <c r="J51" s="1512">
        <v>731708.6108624218</v>
      </c>
      <c r="N51" s="1516">
        <f t="shared" si="49"/>
        <v>-731708.6108624218</v>
      </c>
      <c r="P51" s="1516">
        <f t="shared" si="48"/>
        <v>731708.6108624218</v>
      </c>
    </row>
    <row r="52" spans="5:16" x14ac:dyDescent="0.25">
      <c r="E52" s="1489">
        <v>16</v>
      </c>
      <c r="F52" s="988">
        <f t="shared" si="50"/>
        <v>2035</v>
      </c>
      <c r="G52" s="1512">
        <v>-735502.65551133803</v>
      </c>
      <c r="H52" s="1489">
        <v>16</v>
      </c>
      <c r="I52" s="988">
        <f t="shared" si="51"/>
        <v>2035</v>
      </c>
      <c r="J52" s="1512">
        <v>735502.65551133803</v>
      </c>
      <c r="N52" s="1516">
        <f t="shared" si="49"/>
        <v>-735502.65551133803</v>
      </c>
      <c r="P52" s="1516">
        <f t="shared" si="48"/>
        <v>735502.65551133803</v>
      </c>
    </row>
    <row r="53" spans="5:16" x14ac:dyDescent="0.25">
      <c r="E53" s="1489">
        <v>17</v>
      </c>
      <c r="F53" s="988">
        <f t="shared" si="50"/>
        <v>2036</v>
      </c>
      <c r="G53" s="1512">
        <v>-739316.37298435986</v>
      </c>
      <c r="H53" s="1489">
        <v>17</v>
      </c>
      <c r="I53" s="988">
        <f t="shared" si="51"/>
        <v>2036</v>
      </c>
      <c r="J53" s="1512">
        <v>739316.37298435986</v>
      </c>
      <c r="N53" s="1516">
        <f t="shared" si="49"/>
        <v>-739316.37298435986</v>
      </c>
      <c r="P53" s="1516">
        <f t="shared" si="48"/>
        <v>739316.37298435986</v>
      </c>
    </row>
    <row r="54" spans="5:16" x14ac:dyDescent="0.25">
      <c r="E54" s="1489">
        <v>18</v>
      </c>
      <c r="F54" s="988">
        <f t="shared" si="50"/>
        <v>2037</v>
      </c>
      <c r="G54" s="1512">
        <v>-743149.86528872314</v>
      </c>
      <c r="H54" s="1489">
        <v>18</v>
      </c>
      <c r="I54" s="988">
        <f t="shared" si="51"/>
        <v>2037</v>
      </c>
      <c r="J54" s="1512">
        <v>743149.86528872314</v>
      </c>
      <c r="N54" s="1516">
        <f t="shared" si="49"/>
        <v>-743149.86528872314</v>
      </c>
      <c r="P54" s="1516">
        <f t="shared" si="48"/>
        <v>743149.86528872314</v>
      </c>
    </row>
    <row r="55" spans="5:16" x14ac:dyDescent="0.25">
      <c r="E55" s="1489">
        <v>19</v>
      </c>
      <c r="F55" s="988">
        <f t="shared" si="50"/>
        <v>2038</v>
      </c>
      <c r="G55" s="1512">
        <v>-747003.23496059061</v>
      </c>
      <c r="H55" s="1489">
        <v>19</v>
      </c>
      <c r="I55" s="988">
        <f t="shared" si="51"/>
        <v>2038</v>
      </c>
      <c r="J55" s="1512">
        <v>747003.23496059061</v>
      </c>
      <c r="N55" s="1516">
        <f t="shared" si="49"/>
        <v>-747003.23496059061</v>
      </c>
      <c r="P55" s="1516">
        <f t="shared" si="48"/>
        <v>747003.23496059061</v>
      </c>
    </row>
    <row r="56" spans="5:16" x14ac:dyDescent="0.25">
      <c r="E56" s="1489">
        <v>20</v>
      </c>
      <c r="F56" s="988">
        <f t="shared" si="50"/>
        <v>2039</v>
      </c>
      <c r="G56" s="1512">
        <v>-750876.58506779361</v>
      </c>
      <c r="H56" s="1489">
        <v>20</v>
      </c>
      <c r="I56" s="988">
        <f t="shared" si="51"/>
        <v>2039</v>
      </c>
      <c r="J56" s="1512">
        <v>750876.58506779361</v>
      </c>
      <c r="N56" s="1516">
        <f t="shared" si="49"/>
        <v>-750876.58506779361</v>
      </c>
      <c r="P56" s="1516">
        <f t="shared" si="48"/>
        <v>750876.58506779361</v>
      </c>
    </row>
    <row r="57" spans="5:16" x14ac:dyDescent="0.25">
      <c r="E57" s="1489">
        <v>21</v>
      </c>
      <c r="F57" s="988">
        <f t="shared" si="50"/>
        <v>2040</v>
      </c>
      <c r="G57" s="1512">
        <v>-754770.0192125896</v>
      </c>
      <c r="H57" s="1489">
        <v>21</v>
      </c>
      <c r="I57" s="988">
        <f t="shared" si="51"/>
        <v>2040</v>
      </c>
      <c r="J57" s="1512">
        <v>754770.0192125896</v>
      </c>
      <c r="N57" s="1516">
        <f t="shared" si="49"/>
        <v>-754770.0192125896</v>
      </c>
      <c r="P57" s="1516">
        <f t="shared" si="48"/>
        <v>754770.0192125896</v>
      </c>
    </row>
    <row r="58" spans="5:16" x14ac:dyDescent="0.25">
      <c r="E58" s="1489">
        <v>22</v>
      </c>
      <c r="F58" s="988">
        <f t="shared" si="50"/>
        <v>2041</v>
      </c>
      <c r="G58" s="1512">
        <v>-758683.64153443254</v>
      </c>
      <c r="H58" s="1489">
        <v>22</v>
      </c>
      <c r="I58" s="988">
        <f t="shared" si="51"/>
        <v>2041</v>
      </c>
      <c r="J58" s="1512">
        <v>758683.64153443254</v>
      </c>
      <c r="N58" s="1516">
        <f t="shared" si="49"/>
        <v>-758683.64153443254</v>
      </c>
      <c r="P58" s="1516">
        <f t="shared" si="48"/>
        <v>758683.64153443254</v>
      </c>
    </row>
    <row r="59" spans="5:16" x14ac:dyDescent="0.25">
      <c r="E59" s="1489">
        <v>23</v>
      </c>
      <c r="F59" s="988">
        <f t="shared" si="50"/>
        <v>2042</v>
      </c>
      <c r="G59" s="1512">
        <v>-762617.55671275919</v>
      </c>
      <c r="H59" s="1489">
        <v>23</v>
      </c>
      <c r="I59" s="988">
        <f t="shared" si="51"/>
        <v>2042</v>
      </c>
      <c r="J59" s="1512">
        <v>762617.55671275919</v>
      </c>
      <c r="N59" s="1516">
        <f t="shared" si="49"/>
        <v>-762617.55671275919</v>
      </c>
      <c r="P59" s="1516">
        <f t="shared" si="48"/>
        <v>762617.55671275919</v>
      </c>
    </row>
    <row r="60" spans="5:16" x14ac:dyDescent="0.25">
      <c r="E60" s="1489">
        <v>24</v>
      </c>
      <c r="F60" s="988">
        <f t="shared" si="50"/>
        <v>2043</v>
      </c>
      <c r="G60" s="1512">
        <v>-766571.86996978836</v>
      </c>
      <c r="H60" s="1489">
        <v>24</v>
      </c>
      <c r="I60" s="988">
        <f t="shared" si="51"/>
        <v>2043</v>
      </c>
      <c r="J60" s="1512">
        <v>766571.86996978836</v>
      </c>
      <c r="N60" s="1516">
        <f t="shared" si="49"/>
        <v>-766571.86996978836</v>
      </c>
      <c r="P60" s="1516">
        <f t="shared" si="48"/>
        <v>766571.86996978836</v>
      </c>
    </row>
    <row r="61" spans="5:16" ht="14.4" thickBot="1" x14ac:dyDescent="0.3">
      <c r="E61" s="1565" t="s">
        <v>314</v>
      </c>
      <c r="F61" s="1566"/>
      <c r="G61" s="1567">
        <f t="shared" ref="G61" si="52">SUM(G40:G60)</f>
        <v>-15294114.069890587</v>
      </c>
      <c r="H61" s="1565" t="s">
        <v>314</v>
      </c>
      <c r="I61" s="1566"/>
      <c r="J61" s="1567">
        <f t="shared" ref="J61" si="53">SUM(J40:J60)</f>
        <v>15294114.069890587</v>
      </c>
      <c r="N61" s="1517">
        <f t="shared" ref="N61:P61" si="54">SUM(N40:N60)</f>
        <v>-15294114.069890587</v>
      </c>
      <c r="P61" s="1517">
        <f t="shared" si="54"/>
        <v>15294114.069890587</v>
      </c>
    </row>
    <row r="62" spans="5:16" x14ac:dyDescent="0.25">
      <c r="E62" s="1866" t="s">
        <v>904</v>
      </c>
      <c r="F62" s="1867"/>
      <c r="G62" s="1521">
        <f>G61</f>
        <v>-15294114.069890587</v>
      </c>
      <c r="H62" s="1866" t="s">
        <v>904</v>
      </c>
      <c r="I62" s="1867"/>
      <c r="J62" s="1521">
        <f>J61</f>
        <v>15294114.069890587</v>
      </c>
    </row>
    <row r="63" spans="5:16" ht="14.4" thickBot="1" x14ac:dyDescent="0.3">
      <c r="E63" s="1868" t="s">
        <v>866</v>
      </c>
      <c r="F63" s="1869"/>
      <c r="G63" s="1568">
        <f>G62/21</f>
        <v>-728291.14618526609</v>
      </c>
      <c r="H63" s="1868" t="s">
        <v>866</v>
      </c>
      <c r="I63" s="1869"/>
      <c r="J63" s="1568">
        <f>J62/21</f>
        <v>728291.14618526609</v>
      </c>
    </row>
    <row r="65" spans="5:5" ht="15" x14ac:dyDescent="0.25">
      <c r="E65" s="1003" t="s">
        <v>338</v>
      </c>
    </row>
  </sheetData>
  <mergeCells count="6">
    <mergeCell ref="E21:Y21"/>
    <mergeCell ref="H62:I62"/>
    <mergeCell ref="H63:I63"/>
    <mergeCell ref="E62:F62"/>
    <mergeCell ref="E63:F63"/>
    <mergeCell ref="E28:Y2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27"/>
  <sheetViews>
    <sheetView zoomScale="70" zoomScaleNormal="70" workbookViewId="0">
      <selection activeCell="A21" sqref="A21:XFD22"/>
    </sheetView>
  </sheetViews>
  <sheetFormatPr defaultColWidth="11.44140625" defaultRowHeight="23.25" customHeight="1" x14ac:dyDescent="0.3"/>
  <cols>
    <col min="1" max="2" width="16" bestFit="1" customWidth="1"/>
    <col min="24" max="24" width="12.109375" bestFit="1" customWidth="1"/>
    <col min="25" max="25" width="11.5546875" bestFit="1" customWidth="1"/>
  </cols>
  <sheetData>
    <row r="1" spans="1:25" s="574" customFormat="1" ht="23.25" customHeight="1" thickBot="1" x14ac:dyDescent="0.3"/>
    <row r="2" spans="1:25" s="574" customFormat="1" ht="23.25" customHeight="1" thickBot="1" x14ac:dyDescent="0.3">
      <c r="B2" s="1875" t="s">
        <v>810</v>
      </c>
      <c r="C2" s="1876"/>
      <c r="D2" s="1876"/>
      <c r="E2" s="1876"/>
      <c r="F2" s="1876"/>
      <c r="G2" s="1876"/>
      <c r="H2" s="1876"/>
      <c r="I2" s="1876"/>
      <c r="J2" s="1876"/>
      <c r="K2" s="1876"/>
      <c r="L2" s="1876"/>
      <c r="M2" s="1876"/>
      <c r="N2" s="1876"/>
      <c r="O2" s="1876"/>
      <c r="P2" s="1876"/>
      <c r="Q2" s="1876"/>
      <c r="R2" s="1876"/>
      <c r="S2" s="1876"/>
      <c r="T2" s="1876"/>
      <c r="U2" s="1876"/>
      <c r="V2" s="1876"/>
      <c r="W2" s="1876"/>
      <c r="X2" s="1876"/>
      <c r="Y2" s="1877"/>
    </row>
    <row r="3" spans="1:25" s="574" customFormat="1" ht="23.25" customHeight="1" x14ac:dyDescent="0.25"/>
    <row r="4" spans="1:25" ht="23.25" customHeight="1" x14ac:dyDescent="0.3">
      <c r="A4" s="1870" t="s">
        <v>774</v>
      </c>
      <c r="B4" s="1885" t="s">
        <v>775</v>
      </c>
      <c r="C4" s="1886"/>
      <c r="D4" s="1886"/>
      <c r="E4" s="1886"/>
      <c r="F4" s="1886"/>
      <c r="G4" s="1886"/>
      <c r="H4" s="1886"/>
      <c r="I4" s="1886"/>
      <c r="J4" s="1886"/>
      <c r="K4" s="1886"/>
      <c r="L4" s="1886"/>
      <c r="M4" s="1886"/>
      <c r="N4" s="1887"/>
      <c r="O4" s="1888" t="s">
        <v>776</v>
      </c>
      <c r="P4" s="1889"/>
      <c r="Q4" s="1889"/>
      <c r="R4" s="1889"/>
      <c r="S4" s="1889"/>
      <c r="T4" s="1889"/>
      <c r="U4" s="1889"/>
      <c r="V4" s="1892" t="s">
        <v>799</v>
      </c>
      <c r="W4" s="1893"/>
      <c r="X4" s="1893"/>
      <c r="Y4" s="1894"/>
    </row>
    <row r="5" spans="1:25" ht="23.25" customHeight="1" x14ac:dyDescent="0.3">
      <c r="A5" s="1870"/>
      <c r="B5" s="1871" t="s">
        <v>777</v>
      </c>
      <c r="C5" s="1872" t="s">
        <v>778</v>
      </c>
      <c r="D5" s="1873" t="s">
        <v>779</v>
      </c>
      <c r="E5" s="1874" t="s">
        <v>780</v>
      </c>
      <c r="F5" s="1874"/>
      <c r="G5" s="1874"/>
      <c r="H5" s="1874"/>
      <c r="I5" s="1874"/>
      <c r="J5" s="1884" t="s">
        <v>140</v>
      </c>
      <c r="K5" s="1884"/>
      <c r="L5" s="1884"/>
      <c r="M5" s="1884"/>
      <c r="N5" s="1884"/>
      <c r="O5" s="1873" t="s">
        <v>781</v>
      </c>
      <c r="P5" s="1874" t="s">
        <v>780</v>
      </c>
      <c r="Q5" s="1874"/>
      <c r="R5" s="1874"/>
      <c r="S5" s="1884" t="s">
        <v>140</v>
      </c>
      <c r="T5" s="1884"/>
      <c r="U5" s="1884"/>
      <c r="V5" s="1890" t="s">
        <v>800</v>
      </c>
      <c r="W5" s="1891"/>
      <c r="X5" s="1890" t="s">
        <v>802</v>
      </c>
      <c r="Y5" s="1891"/>
    </row>
    <row r="6" spans="1:25" ht="23.25" customHeight="1" x14ac:dyDescent="0.3">
      <c r="A6" s="1870"/>
      <c r="B6" s="1871"/>
      <c r="C6" s="1872"/>
      <c r="D6" s="1873"/>
      <c r="E6" s="1349" t="s">
        <v>782</v>
      </c>
      <c r="F6" s="1350" t="s">
        <v>783</v>
      </c>
      <c r="G6" s="1350" t="s">
        <v>784</v>
      </c>
      <c r="H6" s="1349" t="s">
        <v>785</v>
      </c>
      <c r="I6" s="1349" t="s">
        <v>786</v>
      </c>
      <c r="J6" s="1349" t="s">
        <v>782</v>
      </c>
      <c r="K6" s="1349" t="s">
        <v>783</v>
      </c>
      <c r="L6" s="1350" t="s">
        <v>784</v>
      </c>
      <c r="M6" s="1349" t="s">
        <v>787</v>
      </c>
      <c r="N6" s="1349" t="s">
        <v>788</v>
      </c>
      <c r="O6" s="1873"/>
      <c r="P6" s="1349" t="s">
        <v>782</v>
      </c>
      <c r="Q6" s="1349" t="s">
        <v>783</v>
      </c>
      <c r="R6" s="1350" t="s">
        <v>784</v>
      </c>
      <c r="S6" s="1349" t="s">
        <v>782</v>
      </c>
      <c r="T6" s="1349" t="s">
        <v>783</v>
      </c>
      <c r="U6" s="1350" t="s">
        <v>784</v>
      </c>
      <c r="V6" s="1349" t="s">
        <v>780</v>
      </c>
      <c r="W6" s="1349" t="s">
        <v>801</v>
      </c>
      <c r="X6" s="1349" t="s">
        <v>780</v>
      </c>
      <c r="Y6" s="1349" t="s">
        <v>801</v>
      </c>
    </row>
    <row r="7" spans="1:25" s="586" customFormat="1" ht="23.25" customHeight="1" x14ac:dyDescent="0.25">
      <c r="A7" s="1354" t="s">
        <v>793</v>
      </c>
      <c r="B7" s="1355" t="s">
        <v>789</v>
      </c>
      <c r="C7" s="1356" t="s">
        <v>790</v>
      </c>
      <c r="D7" s="1357">
        <v>80250</v>
      </c>
      <c r="E7" s="1351">
        <v>285390</v>
      </c>
      <c r="F7" s="1351">
        <v>6530.7380555555555</v>
      </c>
      <c r="G7" s="1351">
        <v>1527.2788888888888</v>
      </c>
      <c r="H7" s="1351">
        <v>73598</v>
      </c>
      <c r="I7" s="1351">
        <v>2213</v>
      </c>
      <c r="J7" s="1351">
        <v>18411</v>
      </c>
      <c r="K7" s="1351">
        <v>427.85250000000002</v>
      </c>
      <c r="L7" s="1351">
        <v>101.33527777777778</v>
      </c>
      <c r="M7" s="1351">
        <v>4287</v>
      </c>
      <c r="N7" s="1351">
        <v>152</v>
      </c>
      <c r="O7" s="1358">
        <v>535000</v>
      </c>
      <c r="P7" s="1352">
        <v>1902600</v>
      </c>
      <c r="Q7" s="1352">
        <v>36943.001111111109</v>
      </c>
      <c r="R7" s="1352">
        <v>3586.6066666666666</v>
      </c>
      <c r="S7" s="1352">
        <v>122740</v>
      </c>
      <c r="T7" s="1352">
        <v>2364.8450925925931</v>
      </c>
      <c r="U7" s="1352">
        <v>188.06361111111113</v>
      </c>
      <c r="V7" s="1352">
        <f t="shared" ref="V7:V12" si="0">H7+I7</f>
        <v>75811</v>
      </c>
      <c r="W7" s="1352">
        <f t="shared" ref="W7:W12" si="1">M7+N7</f>
        <v>4439</v>
      </c>
      <c r="X7" s="1352">
        <f>V7/0.15</f>
        <v>505406.66666666669</v>
      </c>
      <c r="Y7" s="1352">
        <f>W7/0.15</f>
        <v>29593.333333333336</v>
      </c>
    </row>
    <row r="8" spans="1:25" s="586" customFormat="1" ht="23.25" customHeight="1" x14ac:dyDescent="0.25">
      <c r="A8" s="1354" t="s">
        <v>794</v>
      </c>
      <c r="B8" s="1355">
        <v>8.75</v>
      </c>
      <c r="C8" s="1356" t="s">
        <v>791</v>
      </c>
      <c r="D8" s="1357">
        <v>312283</v>
      </c>
      <c r="E8" s="1351">
        <v>1174509</v>
      </c>
      <c r="F8" s="1351">
        <v>25229.598333333332</v>
      </c>
      <c r="G8" s="1351">
        <v>4449.2233333333334</v>
      </c>
      <c r="H8" s="1351">
        <v>295092</v>
      </c>
      <c r="I8" s="1351">
        <v>3236</v>
      </c>
      <c r="J8" s="1351">
        <v>59996</v>
      </c>
      <c r="K8" s="1351">
        <v>1260.3869444444445</v>
      </c>
      <c r="L8" s="1351">
        <v>188.27666666666667</v>
      </c>
      <c r="M8" s="1351">
        <v>13804</v>
      </c>
      <c r="N8" s="1351">
        <v>151</v>
      </c>
      <c r="O8" s="1358">
        <v>612319.60784313723</v>
      </c>
      <c r="P8" s="1352">
        <v>2302958.8235294102</v>
      </c>
      <c r="Q8" s="1352">
        <v>48573.181111111116</v>
      </c>
      <c r="R8" s="1353">
        <v>7827.347777777778</v>
      </c>
      <c r="S8" s="1352">
        <v>117639.2156862745</v>
      </c>
      <c r="T8" s="1352">
        <v>2458.8147930283226</v>
      </c>
      <c r="U8" s="1352">
        <v>356.63777777777779</v>
      </c>
      <c r="V8" s="1352">
        <f t="shared" si="0"/>
        <v>298328</v>
      </c>
      <c r="W8" s="1352">
        <f t="shared" si="1"/>
        <v>13955</v>
      </c>
      <c r="X8" s="1352">
        <f>V8/0.51</f>
        <v>584956.86274509807</v>
      </c>
      <c r="Y8" s="1352">
        <f>W8/0.51</f>
        <v>27362.745098039217</v>
      </c>
    </row>
    <row r="9" spans="1:25" s="586" customFormat="1" ht="23.25" customHeight="1" x14ac:dyDescent="0.25">
      <c r="A9" s="1354" t="s">
        <v>795</v>
      </c>
      <c r="B9" s="1355">
        <v>8.75</v>
      </c>
      <c r="C9" s="1356" t="s">
        <v>791</v>
      </c>
      <c r="D9" s="1357">
        <v>316110</v>
      </c>
      <c r="E9" s="1351">
        <v>1188202</v>
      </c>
      <c r="F9" s="1351">
        <v>26402.234722222223</v>
      </c>
      <c r="G9" s="1351">
        <v>5152.1413888888892</v>
      </c>
      <c r="H9" s="1351">
        <v>298607</v>
      </c>
      <c r="I9" s="1351">
        <v>3404</v>
      </c>
      <c r="J9" s="1351">
        <v>60525</v>
      </c>
      <c r="K9" s="1351">
        <v>1324.7972222222222</v>
      </c>
      <c r="L9" s="1351">
        <v>231.73555555555555</v>
      </c>
      <c r="M9" s="1351">
        <v>13935</v>
      </c>
      <c r="N9" s="1351">
        <v>164</v>
      </c>
      <c r="O9" s="1358">
        <v>619823.5294117647</v>
      </c>
      <c r="P9" s="1352">
        <v>2329807.8431372549</v>
      </c>
      <c r="Q9" s="1352">
        <v>51986.688284313728</v>
      </c>
      <c r="R9" s="1353">
        <v>10319.83861111111</v>
      </c>
      <c r="S9" s="1352">
        <v>118676.47058823529</v>
      </c>
      <c r="T9" s="1352">
        <v>2639.4345588235296</v>
      </c>
      <c r="U9" s="1352">
        <v>496.17638888888888</v>
      </c>
      <c r="V9" s="1352">
        <f t="shared" si="0"/>
        <v>302011</v>
      </c>
      <c r="W9" s="1352">
        <f t="shared" si="1"/>
        <v>14099</v>
      </c>
      <c r="X9" s="1352">
        <f t="shared" ref="X9:X12" si="2">V9/0.51</f>
        <v>592178.43137254904</v>
      </c>
      <c r="Y9" s="1352">
        <f t="shared" ref="Y9:Y12" si="3">W9/0.51</f>
        <v>27645.098039215685</v>
      </c>
    </row>
    <row r="10" spans="1:25" s="586" customFormat="1" ht="23.25" customHeight="1" x14ac:dyDescent="0.25">
      <c r="A10" s="1359" t="s">
        <v>796</v>
      </c>
      <c r="B10" s="1355" t="s">
        <v>792</v>
      </c>
      <c r="C10" s="1356" t="s">
        <v>791</v>
      </c>
      <c r="D10" s="1357">
        <v>326415</v>
      </c>
      <c r="E10" s="1351">
        <v>1151007</v>
      </c>
      <c r="F10" s="1351">
        <v>48723.125833333332</v>
      </c>
      <c r="G10" s="1351">
        <v>28564.836944444443</v>
      </c>
      <c r="H10" s="1351">
        <v>302543</v>
      </c>
      <c r="I10" s="1351">
        <v>6202</v>
      </c>
      <c r="J10" s="1351">
        <v>74669</v>
      </c>
      <c r="K10" s="1351">
        <v>3252.125</v>
      </c>
      <c r="L10" s="1351">
        <v>1930.9747222222222</v>
      </c>
      <c r="M10" s="1351">
        <v>17252</v>
      </c>
      <c r="N10" s="1351">
        <v>418</v>
      </c>
      <c r="O10" s="1358">
        <v>640029.4117647059</v>
      </c>
      <c r="P10" s="1352">
        <v>2256876.4705882352</v>
      </c>
      <c r="Q10" s="1353">
        <v>102368.69792265794</v>
      </c>
      <c r="R10" s="1352">
        <v>62842.64127777778</v>
      </c>
      <c r="S10" s="1352">
        <v>146409.80392156861</v>
      </c>
      <c r="T10" s="1352">
        <v>6838.6351296296298</v>
      </c>
      <c r="U10" s="1352">
        <v>4248.1443888888889</v>
      </c>
      <c r="V10" s="1352">
        <f t="shared" si="0"/>
        <v>308745</v>
      </c>
      <c r="W10" s="1352">
        <f t="shared" si="1"/>
        <v>17670</v>
      </c>
      <c r="X10" s="1352">
        <f t="shared" si="2"/>
        <v>605382.3529411765</v>
      </c>
      <c r="Y10" s="1352">
        <f t="shared" si="3"/>
        <v>34647.058823529413</v>
      </c>
    </row>
    <row r="11" spans="1:25" s="586" customFormat="1" ht="23.25" customHeight="1" x14ac:dyDescent="0.25">
      <c r="A11" s="1359" t="s">
        <v>797</v>
      </c>
      <c r="B11" s="1355" t="s">
        <v>792</v>
      </c>
      <c r="C11" s="1356" t="s">
        <v>790</v>
      </c>
      <c r="D11" s="1357">
        <v>363219</v>
      </c>
      <c r="E11" s="1351">
        <v>1369103.4275378787</v>
      </c>
      <c r="F11" s="1351">
        <v>34471.699130377419</v>
      </c>
      <c r="G11" s="1351">
        <v>10560.914813888889</v>
      </c>
      <c r="H11" s="1351">
        <v>338068</v>
      </c>
      <c r="I11" s="1351">
        <v>5034</v>
      </c>
      <c r="J11" s="1351">
        <v>90448.338371212129</v>
      </c>
      <c r="K11" s="1351">
        <v>2217.742490970938</v>
      </c>
      <c r="L11" s="1351">
        <v>623.06203611111118</v>
      </c>
      <c r="M11" s="1351">
        <v>19803</v>
      </c>
      <c r="N11" s="1351">
        <v>314</v>
      </c>
      <c r="O11" s="1358">
        <v>712194.1176470588</v>
      </c>
      <c r="P11" s="1352">
        <v>2684516.5245840759</v>
      </c>
      <c r="Q11" s="1352">
        <v>69957.844200374326</v>
      </c>
      <c r="R11" s="1352">
        <v>23073.953383730157</v>
      </c>
      <c r="S11" s="1352">
        <v>177349.68308080808</v>
      </c>
      <c r="T11" s="1352">
        <v>4351.183437563619</v>
      </c>
      <c r="U11" s="1352">
        <v>1224.3590162698413</v>
      </c>
      <c r="V11" s="1352">
        <f t="shared" si="0"/>
        <v>343102</v>
      </c>
      <c r="W11" s="1352">
        <f t="shared" si="1"/>
        <v>20117</v>
      </c>
      <c r="X11" s="1352">
        <f t="shared" si="2"/>
        <v>672749.01960784313</v>
      </c>
      <c r="Y11" s="1352">
        <f t="shared" si="3"/>
        <v>39445.098039215685</v>
      </c>
    </row>
    <row r="12" spans="1:25" s="586" customFormat="1" ht="23.25" customHeight="1" x14ac:dyDescent="0.25">
      <c r="A12" s="1359" t="s">
        <v>798</v>
      </c>
      <c r="B12" s="1355" t="s">
        <v>792</v>
      </c>
      <c r="C12" s="1356" t="s">
        <v>790</v>
      </c>
      <c r="D12" s="1357">
        <v>368423</v>
      </c>
      <c r="E12" s="1351">
        <v>1380508.6522298483</v>
      </c>
      <c r="F12" s="1351">
        <v>39515.931488368202</v>
      </c>
      <c r="G12" s="1351">
        <v>15121.170840771665</v>
      </c>
      <c r="H12" s="1351">
        <v>342902</v>
      </c>
      <c r="I12" s="1351">
        <v>5280</v>
      </c>
      <c r="J12" s="1351">
        <v>90295.396904242429</v>
      </c>
      <c r="K12" s="1351">
        <v>2545.5858835043582</v>
      </c>
      <c r="L12" s="1351">
        <v>935.95059283194439</v>
      </c>
      <c r="M12" s="1351">
        <v>19916</v>
      </c>
      <c r="N12" s="1351">
        <v>325</v>
      </c>
      <c r="O12" s="1358">
        <v>722398.03921568627</v>
      </c>
      <c r="P12" s="1352">
        <v>2706879.7102546045</v>
      </c>
      <c r="Q12" s="1352">
        <v>76398.265087611275</v>
      </c>
      <c r="R12" s="1352">
        <v>28565.401072716108</v>
      </c>
      <c r="S12" s="1352">
        <v>177049.79785145575</v>
      </c>
      <c r="T12" s="1352">
        <v>4746.6273938236054</v>
      </c>
      <c r="U12" s="1352">
        <v>1590.4797650541666</v>
      </c>
      <c r="V12" s="1352">
        <f t="shared" si="0"/>
        <v>348182</v>
      </c>
      <c r="W12" s="1352">
        <f t="shared" si="1"/>
        <v>20241</v>
      </c>
      <c r="X12" s="1352">
        <f t="shared" si="2"/>
        <v>682709.80392156867</v>
      </c>
      <c r="Y12" s="1352">
        <f t="shared" si="3"/>
        <v>39688.235294117643</v>
      </c>
    </row>
    <row r="15" spans="1:25" ht="44.25" customHeight="1" x14ac:dyDescent="0.25">
      <c r="B15" s="1883" t="s">
        <v>821</v>
      </c>
      <c r="C15" s="1883"/>
      <c r="D15" s="1883"/>
      <c r="E15" s="1883"/>
      <c r="F15" s="1883"/>
      <c r="G15" s="1883"/>
      <c r="H15" s="1883"/>
    </row>
    <row r="16" spans="1:25" ht="23.25" customHeight="1" x14ac:dyDescent="0.3">
      <c r="B16" s="1878" t="s">
        <v>774</v>
      </c>
      <c r="C16" s="1880" t="s">
        <v>813</v>
      </c>
      <c r="D16" s="1881"/>
      <c r="E16" s="1882"/>
      <c r="F16" s="1880" t="s">
        <v>347</v>
      </c>
      <c r="G16" s="1881"/>
      <c r="H16" s="1882"/>
    </row>
    <row r="17" spans="1:8" ht="23.25" customHeight="1" x14ac:dyDescent="0.3">
      <c r="B17" s="1879"/>
      <c r="C17" s="1349" t="s">
        <v>814</v>
      </c>
      <c r="D17" s="1349" t="s">
        <v>815</v>
      </c>
      <c r="E17" s="1349" t="s">
        <v>818</v>
      </c>
      <c r="F17" s="1349" t="s">
        <v>814</v>
      </c>
      <c r="G17" s="1349" t="s">
        <v>815</v>
      </c>
      <c r="H17" s="1349" t="s">
        <v>638</v>
      </c>
    </row>
    <row r="18" spans="1:8" ht="23.25" customHeight="1" x14ac:dyDescent="0.25">
      <c r="A18" s="574"/>
      <c r="B18" s="1354" t="s">
        <v>812</v>
      </c>
      <c r="C18" s="1362">
        <f t="shared" ref="C18:H18" si="4">B27</f>
        <v>2014037.6791670402</v>
      </c>
      <c r="D18" s="1362">
        <f t="shared" si="4"/>
        <v>51889.223905082232</v>
      </c>
      <c r="E18" s="1362">
        <f t="shared" si="4"/>
        <v>536748.15858284058</v>
      </c>
      <c r="F18" s="1362">
        <f t="shared" si="4"/>
        <v>130170.96735974608</v>
      </c>
      <c r="G18" s="1362">
        <f t="shared" si="4"/>
        <v>3369.185654616922</v>
      </c>
      <c r="H18" s="1362">
        <f t="shared" si="4"/>
        <v>31190.192018829701</v>
      </c>
    </row>
    <row r="19" spans="1:8" ht="23.25" customHeight="1" x14ac:dyDescent="0.25">
      <c r="A19" s="574"/>
      <c r="B19" s="1354" t="s">
        <v>816</v>
      </c>
      <c r="C19" s="1362">
        <f t="shared" ref="C19:D23" si="5">P8</f>
        <v>2302958.8235294102</v>
      </c>
      <c r="D19" s="1362">
        <f t="shared" si="5"/>
        <v>48573.181111111116</v>
      </c>
      <c r="E19" s="1362">
        <f>X8</f>
        <v>584956.86274509807</v>
      </c>
      <c r="F19" s="1362">
        <f t="shared" ref="F19:G23" si="6">S8</f>
        <v>117639.2156862745</v>
      </c>
      <c r="G19" s="1362">
        <f t="shared" si="6"/>
        <v>2458.8147930283226</v>
      </c>
      <c r="H19" s="1362">
        <f>Y8</f>
        <v>27362.745098039217</v>
      </c>
    </row>
    <row r="20" spans="1:8" ht="23.25" customHeight="1" x14ac:dyDescent="0.25">
      <c r="B20" s="1354" t="s">
        <v>817</v>
      </c>
      <c r="C20" s="1362">
        <f t="shared" si="5"/>
        <v>2329807.8431372549</v>
      </c>
      <c r="D20" s="1362">
        <f t="shared" si="5"/>
        <v>51986.688284313728</v>
      </c>
      <c r="E20" s="1362">
        <f>X9</f>
        <v>592178.43137254904</v>
      </c>
      <c r="F20" s="1362">
        <f t="shared" si="6"/>
        <v>118676.47058823529</v>
      </c>
      <c r="G20" s="1362">
        <f t="shared" si="6"/>
        <v>2639.4345588235296</v>
      </c>
      <c r="H20" s="1362">
        <f>Y9</f>
        <v>27645.098039215685</v>
      </c>
    </row>
    <row r="21" spans="1:8" ht="23.25" customHeight="1" x14ac:dyDescent="0.25">
      <c r="B21" s="1359" t="s">
        <v>796</v>
      </c>
      <c r="C21" s="1362">
        <f t="shared" si="5"/>
        <v>2256876.4705882352</v>
      </c>
      <c r="D21" s="1362">
        <f t="shared" si="5"/>
        <v>102368.69792265794</v>
      </c>
      <c r="E21" s="1362">
        <f>X10</f>
        <v>605382.3529411765</v>
      </c>
      <c r="F21" s="1362">
        <f t="shared" si="6"/>
        <v>146409.80392156861</v>
      </c>
      <c r="G21" s="1362">
        <f t="shared" si="6"/>
        <v>6838.6351296296298</v>
      </c>
      <c r="H21" s="1362">
        <f>Y10</f>
        <v>34647.058823529413</v>
      </c>
    </row>
    <row r="22" spans="1:8" ht="23.25" customHeight="1" x14ac:dyDescent="0.25">
      <c r="B22" s="1359" t="s">
        <v>797</v>
      </c>
      <c r="C22" s="1362">
        <f t="shared" si="5"/>
        <v>2684516.5245840759</v>
      </c>
      <c r="D22" s="1362">
        <f t="shared" si="5"/>
        <v>69957.844200374326</v>
      </c>
      <c r="E22" s="1362">
        <f>X11</f>
        <v>672749.01960784313</v>
      </c>
      <c r="F22" s="1362">
        <f t="shared" si="6"/>
        <v>177349.68308080808</v>
      </c>
      <c r="G22" s="1362">
        <f t="shared" si="6"/>
        <v>4351.183437563619</v>
      </c>
      <c r="H22" s="1362">
        <f>Y11</f>
        <v>39445.098039215685</v>
      </c>
    </row>
    <row r="23" spans="1:8" ht="23.25" customHeight="1" x14ac:dyDescent="0.25">
      <c r="B23" s="1359" t="s">
        <v>798</v>
      </c>
      <c r="C23" s="1362">
        <f t="shared" si="5"/>
        <v>2706879.7102546045</v>
      </c>
      <c r="D23" s="1362">
        <f t="shared" si="5"/>
        <v>76398.265087611275</v>
      </c>
      <c r="E23" s="1362">
        <f>X12</f>
        <v>682709.80392156867</v>
      </c>
      <c r="F23" s="1362">
        <f t="shared" si="6"/>
        <v>177049.79785145575</v>
      </c>
      <c r="G23" s="1362">
        <f t="shared" si="6"/>
        <v>4746.6273938236054</v>
      </c>
      <c r="H23" s="1362">
        <f>Y12</f>
        <v>39688.235294117643</v>
      </c>
    </row>
    <row r="24" spans="1:8" ht="23.25" customHeight="1" x14ac:dyDescent="0.25">
      <c r="H24" s="574"/>
    </row>
    <row r="25" spans="1:8" ht="23.25" hidden="1" customHeight="1" x14ac:dyDescent="0.25">
      <c r="A25" s="1361" t="s">
        <v>809</v>
      </c>
      <c r="B25" s="1355" t="s">
        <v>805</v>
      </c>
      <c r="C25" s="1360" t="s">
        <v>806</v>
      </c>
      <c r="D25" s="1360" t="s">
        <v>819</v>
      </c>
      <c r="E25" s="1360" t="s">
        <v>807</v>
      </c>
      <c r="F25" s="1360" t="s">
        <v>808</v>
      </c>
      <c r="G25" s="1363" t="s">
        <v>820</v>
      </c>
    </row>
    <row r="26" spans="1:8" ht="23.25" hidden="1" customHeight="1" x14ac:dyDescent="0.25">
      <c r="A26" s="258" t="s">
        <v>804</v>
      </c>
      <c r="B26" s="263">
        <f>(P10/P7)^(1/(2041-2014))-1</f>
        <v>6.3445006142346383E-3</v>
      </c>
      <c r="C26" s="263">
        <f>(Q10/Q7)^(1/(2041-2014))-1</f>
        <v>3.8469842789401909E-2</v>
      </c>
      <c r="D26" s="263">
        <f>(X10/X7)^(1/(2041-2014))-1</f>
        <v>6.7074638754542892E-3</v>
      </c>
      <c r="E26" s="263">
        <f>(S10/S7)^(1/(2041-2014))-1</f>
        <v>6.5525326324240574E-3</v>
      </c>
      <c r="F26" s="263">
        <f>(T10/T7)^(1/(2041-2014))-1</f>
        <v>4.0112341254797235E-2</v>
      </c>
      <c r="G26" s="263">
        <f>(Y10/Y7)^(1/(2041-2014))-1</f>
        <v>5.8564798802345219E-3</v>
      </c>
    </row>
    <row r="27" spans="1:8" ht="23.25" hidden="1" customHeight="1" x14ac:dyDescent="0.25">
      <c r="A27" s="258" t="s">
        <v>803</v>
      </c>
      <c r="B27" s="667">
        <f>P7*(1+B26)^(2023-2014)</f>
        <v>2014037.6791670402</v>
      </c>
      <c r="C27" s="667">
        <f>Q7*(1+C26)^(2023-2014)</f>
        <v>51889.223905082232</v>
      </c>
      <c r="D27" s="667">
        <f>X7*(1+D26)^(2023-2014)</f>
        <v>536748.15858284058</v>
      </c>
      <c r="E27" s="667">
        <f>S7*(1+E26)^(2023-2014)</f>
        <v>130170.96735974608</v>
      </c>
      <c r="F27" s="667">
        <f>T7*(1+F26)^(2023-2014)</f>
        <v>3369.185654616922</v>
      </c>
      <c r="G27" s="667">
        <f>Y7*(1+G26)^(2023-2014)</f>
        <v>31190.192018829701</v>
      </c>
    </row>
  </sheetData>
  <mergeCells count="19">
    <mergeCell ref="B2:Y2"/>
    <mergeCell ref="B16:B17"/>
    <mergeCell ref="C16:E16"/>
    <mergeCell ref="F16:H16"/>
    <mergeCell ref="B15:H15"/>
    <mergeCell ref="S5:U5"/>
    <mergeCell ref="B4:N4"/>
    <mergeCell ref="O4:U4"/>
    <mergeCell ref="V5:W5"/>
    <mergeCell ref="X5:Y5"/>
    <mergeCell ref="V4:Y4"/>
    <mergeCell ref="J5:N5"/>
    <mergeCell ref="O5:O6"/>
    <mergeCell ref="P5:R5"/>
    <mergeCell ref="A4:A6"/>
    <mergeCell ref="B5:B6"/>
    <mergeCell ref="C5:C6"/>
    <mergeCell ref="D5:D6"/>
    <mergeCell ref="E5:I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P71"/>
  <sheetViews>
    <sheetView zoomScale="55" zoomScaleNormal="55" workbookViewId="0">
      <selection activeCell="A77" sqref="A77:XFD96"/>
    </sheetView>
  </sheetViews>
  <sheetFormatPr defaultColWidth="9.109375" defaultRowHeight="14.4" x14ac:dyDescent="0.3"/>
  <cols>
    <col min="1" max="1" width="9.109375" style="1364"/>
    <col min="2" max="2" width="32.44140625" style="1364" bestFit="1" customWidth="1"/>
    <col min="3" max="11" width="15.6640625" style="1364" customWidth="1"/>
    <col min="12" max="13" width="9.109375" style="1364"/>
    <col min="14" max="14" width="35.88671875" style="1364" customWidth="1"/>
    <col min="15" max="15" width="42.88671875" style="1364" customWidth="1"/>
    <col min="16" max="16" width="38.88671875" style="1364" bestFit="1" customWidth="1"/>
    <col min="17" max="16384" width="9.109375" style="1364"/>
  </cols>
  <sheetData>
    <row r="1" spans="2:16" ht="15.75" thickBot="1" x14ac:dyDescent="0.3"/>
    <row r="2" spans="2:16" s="253" customFormat="1" ht="27" thickBot="1" x14ac:dyDescent="0.3">
      <c r="B2" s="1899" t="s">
        <v>811</v>
      </c>
      <c r="C2" s="1900"/>
      <c r="D2" s="1900"/>
      <c r="E2" s="1900"/>
      <c r="F2" s="1900"/>
      <c r="G2" s="1900"/>
      <c r="H2" s="1900"/>
      <c r="I2" s="1900"/>
      <c r="J2" s="1900"/>
      <c r="K2" s="1901"/>
    </row>
    <row r="4" spans="2:16" ht="15.75" thickBot="1" x14ac:dyDescent="0.3"/>
    <row r="5" spans="2:16" ht="18" x14ac:dyDescent="0.3">
      <c r="B5" s="1902" t="s">
        <v>823</v>
      </c>
      <c r="C5" s="1909" t="s">
        <v>822</v>
      </c>
      <c r="D5" s="1909"/>
      <c r="E5" s="1909"/>
      <c r="F5" s="1909"/>
      <c r="G5" s="1909"/>
      <c r="H5" s="1909"/>
      <c r="I5" s="1909"/>
      <c r="J5" s="1909"/>
      <c r="K5" s="1909"/>
      <c r="N5" s="1897" t="s">
        <v>949</v>
      </c>
      <c r="O5" s="1898"/>
      <c r="P5" s="1677"/>
    </row>
    <row r="6" spans="2:16" ht="15" customHeight="1" x14ac:dyDescent="0.3">
      <c r="B6" s="1903"/>
      <c r="C6" s="532" t="s">
        <v>348</v>
      </c>
      <c r="D6" s="532"/>
      <c r="E6" s="258"/>
      <c r="F6" s="532" t="s">
        <v>347</v>
      </c>
      <c r="G6" s="532"/>
      <c r="H6" s="258"/>
      <c r="I6" s="1908" t="s">
        <v>824</v>
      </c>
      <c r="J6" s="1908" t="s">
        <v>825</v>
      </c>
      <c r="K6" s="1908" t="s">
        <v>837</v>
      </c>
      <c r="N6" s="1591" t="s">
        <v>938</v>
      </c>
      <c r="O6" s="532" t="s">
        <v>939</v>
      </c>
      <c r="P6" s="532" t="s">
        <v>972</v>
      </c>
    </row>
    <row r="7" spans="2:16" x14ac:dyDescent="0.3">
      <c r="B7" s="1904"/>
      <c r="C7" s="532" t="s">
        <v>814</v>
      </c>
      <c r="D7" s="532" t="s">
        <v>815</v>
      </c>
      <c r="E7" s="532" t="s">
        <v>818</v>
      </c>
      <c r="F7" s="532" t="s">
        <v>814</v>
      </c>
      <c r="G7" s="532" t="s">
        <v>815</v>
      </c>
      <c r="H7" s="532" t="s">
        <v>818</v>
      </c>
      <c r="I7" s="1908"/>
      <c r="J7" s="1908"/>
      <c r="K7" s="1908"/>
      <c r="N7" s="1583">
        <v>1</v>
      </c>
      <c r="O7" s="1676">
        <v>0.83</v>
      </c>
      <c r="P7" s="1584">
        <f>O7/SUM($O$7:$O$10)</f>
        <v>0.88675213675213671</v>
      </c>
    </row>
    <row r="8" spans="2:16" ht="15" x14ac:dyDescent="0.25">
      <c r="B8" s="532" t="s">
        <v>826</v>
      </c>
      <c r="C8" s="667">
        <f>VISSIM.Outputs!C18</f>
        <v>2014037.6791670402</v>
      </c>
      <c r="D8" s="667">
        <f>VISSIM.Outputs!D18</f>
        <v>51889.223905082232</v>
      </c>
      <c r="E8" s="667">
        <f>VISSIM.Outputs!E18</f>
        <v>536748.15858284058</v>
      </c>
      <c r="F8" s="667">
        <f>VISSIM.Outputs!F18</f>
        <v>130170.96735974608</v>
      </c>
      <c r="G8" s="667">
        <f>VISSIM.Outputs!G18</f>
        <v>3369.185654616922</v>
      </c>
      <c r="H8" s="667">
        <f>VISSIM.Outputs!H18</f>
        <v>31190.192018829701</v>
      </c>
      <c r="I8" s="259">
        <f>F8/C8</f>
        <v>6.4631843140879969E-2</v>
      </c>
      <c r="J8" s="259">
        <f t="shared" ref="J8:K8" si="0">G8/D8</f>
        <v>6.4930353569750174E-2</v>
      </c>
      <c r="K8" s="259">
        <f t="shared" si="0"/>
        <v>5.8109546386111863E-2</v>
      </c>
      <c r="N8" s="1583">
        <v>2</v>
      </c>
      <c r="O8" s="1676">
        <v>8.3000000000000004E-2</v>
      </c>
      <c r="P8" s="1584">
        <f t="shared" ref="P8:P10" si="1">O8/SUM($O$7:$O$10)</f>
        <v>8.8675213675213679E-2</v>
      </c>
    </row>
    <row r="9" spans="2:16" ht="15" x14ac:dyDescent="0.25">
      <c r="B9" s="532" t="s">
        <v>929</v>
      </c>
      <c r="C9" s="667">
        <f>VISSIM.Outputs!C21</f>
        <v>2256876.4705882352</v>
      </c>
      <c r="D9" s="667">
        <f>VISSIM.Outputs!D21</f>
        <v>102368.69792265794</v>
      </c>
      <c r="E9" s="667">
        <f>VISSIM.Outputs!E21</f>
        <v>605382.3529411765</v>
      </c>
      <c r="F9" s="667">
        <f>VISSIM.Outputs!F21</f>
        <v>146409.80392156861</v>
      </c>
      <c r="G9" s="667">
        <f>VISSIM.Outputs!G21</f>
        <v>6838.6351296296298</v>
      </c>
      <c r="H9" s="667">
        <f>VISSIM.Outputs!H21</f>
        <v>34647.058823529413</v>
      </c>
      <c r="I9" s="259">
        <f>F9/C9</f>
        <v>6.4872759244730918E-2</v>
      </c>
      <c r="J9" s="259">
        <f t="shared" ref="J9" si="2">G9/D9</f>
        <v>6.6803967114990426E-2</v>
      </c>
      <c r="K9" s="259">
        <f t="shared" ref="K9" si="3">H9/E9</f>
        <v>5.7231696059855217E-2</v>
      </c>
      <c r="N9" s="1583">
        <v>3</v>
      </c>
      <c r="O9" s="1676">
        <v>1.6E-2</v>
      </c>
      <c r="P9" s="1584">
        <f t="shared" si="1"/>
        <v>1.7094017094017096E-2</v>
      </c>
    </row>
    <row r="10" spans="2:16" ht="15" x14ac:dyDescent="0.25">
      <c r="B10" s="532"/>
      <c r="C10" s="258"/>
      <c r="D10" s="258"/>
      <c r="E10" s="258"/>
      <c r="F10" s="258"/>
      <c r="G10" s="258"/>
      <c r="H10" s="258"/>
      <c r="I10" s="1365"/>
      <c r="J10" s="1365"/>
      <c r="K10" s="258"/>
      <c r="N10" s="1583">
        <v>4</v>
      </c>
      <c r="O10" s="1676">
        <v>7.0000000000000001E-3</v>
      </c>
      <c r="P10" s="1584">
        <f t="shared" si="1"/>
        <v>7.478632478632479E-3</v>
      </c>
    </row>
    <row r="11" spans="2:16" ht="15.75" thickBot="1" x14ac:dyDescent="0.3">
      <c r="B11" s="532" t="s">
        <v>830</v>
      </c>
      <c r="C11" s="667">
        <f>VISSIM.Outputs!C19</f>
        <v>2302958.8235294102</v>
      </c>
      <c r="D11" s="667">
        <f>VISSIM.Outputs!D19</f>
        <v>48573.181111111116</v>
      </c>
      <c r="E11" s="667">
        <f>VISSIM.Outputs!E19</f>
        <v>584956.86274509807</v>
      </c>
      <c r="F11" s="667">
        <f>VISSIM.Outputs!F19</f>
        <v>117639.2156862745</v>
      </c>
      <c r="G11" s="667">
        <f>VISSIM.Outputs!G19</f>
        <v>2458.8147930283226</v>
      </c>
      <c r="H11" s="667">
        <f>VISSIM.Outputs!H19</f>
        <v>27362.745098039217</v>
      </c>
      <c r="I11" s="259">
        <f>F11/C11</f>
        <v>5.1081771191195675E-2</v>
      </c>
      <c r="J11" s="259">
        <f t="shared" ref="J11:J12" si="4">G11/D11</f>
        <v>5.0620831017918831E-2</v>
      </c>
      <c r="K11" s="259">
        <f t="shared" ref="K11:K12" si="5">H11/E11</f>
        <v>4.6777372556380897E-2</v>
      </c>
      <c r="N11" s="1585" t="s">
        <v>940</v>
      </c>
      <c r="O11" s="1678">
        <f>SUMPRODUCT(N7:N10,P7:P10)</f>
        <v>1.1452991452991452</v>
      </c>
      <c r="P11" s="1586"/>
    </row>
    <row r="12" spans="2:16" ht="15" x14ac:dyDescent="0.25">
      <c r="B12" s="532" t="s">
        <v>931</v>
      </c>
      <c r="C12" s="667">
        <f>VISSIM.Outputs!C22</f>
        <v>2684516.5245840759</v>
      </c>
      <c r="D12" s="667">
        <f>VISSIM.Outputs!D22</f>
        <v>69957.844200374326</v>
      </c>
      <c r="E12" s="667">
        <f>VISSIM.Outputs!E22</f>
        <v>672749.01960784313</v>
      </c>
      <c r="F12" s="667">
        <f>VISSIM.Outputs!F22</f>
        <v>177349.68308080808</v>
      </c>
      <c r="G12" s="667">
        <f>VISSIM.Outputs!G22</f>
        <v>4351.183437563619</v>
      </c>
      <c r="H12" s="667">
        <f>VISSIM.Outputs!H22</f>
        <v>39445.098039215685</v>
      </c>
      <c r="I12" s="259">
        <f>F12/C12</f>
        <v>6.6063919315335812E-2</v>
      </c>
      <c r="J12" s="259">
        <f t="shared" si="4"/>
        <v>6.2197220158770085E-2</v>
      </c>
      <c r="K12" s="259">
        <f t="shared" si="5"/>
        <v>5.8632709806413254E-2</v>
      </c>
      <c r="N12" s="1577" t="s">
        <v>950</v>
      </c>
      <c r="O12" s="1577"/>
      <c r="P12" s="1577"/>
    </row>
    <row r="13" spans="2:16" ht="15.75" thickBot="1" x14ac:dyDescent="0.3">
      <c r="B13" s="532"/>
      <c r="C13" s="258"/>
      <c r="D13" s="258"/>
      <c r="E13" s="258"/>
      <c r="F13" s="258"/>
      <c r="G13" s="258"/>
      <c r="H13" s="258"/>
      <c r="I13" s="1365"/>
      <c r="J13" s="1365"/>
      <c r="K13" s="258"/>
    </row>
    <row r="14" spans="2:16" ht="15.75" thickBot="1" x14ac:dyDescent="0.3">
      <c r="B14" s="532" t="s">
        <v>828</v>
      </c>
      <c r="C14" s="667">
        <f>VISSIM.Outputs!C20</f>
        <v>2329807.8431372549</v>
      </c>
      <c r="D14" s="667">
        <f>VISSIM.Outputs!D20</f>
        <v>51986.688284313728</v>
      </c>
      <c r="E14" s="667">
        <f>VISSIM.Outputs!E20</f>
        <v>592178.43137254904</v>
      </c>
      <c r="F14" s="667">
        <f>VISSIM.Outputs!F20</f>
        <v>118676.47058823529</v>
      </c>
      <c r="G14" s="667">
        <f>VISSIM.Outputs!G20</f>
        <v>2639.4345588235296</v>
      </c>
      <c r="H14" s="667">
        <f>VISSIM.Outputs!H20</f>
        <v>27645.098039215685</v>
      </c>
      <c r="I14" s="259">
        <f>F14/C14</f>
        <v>5.0938308469435326E-2</v>
      </c>
      <c r="J14" s="259">
        <f t="shared" ref="J14:J15" si="6">G14/D14</f>
        <v>5.0771354089503389E-2</v>
      </c>
      <c r="K14" s="259">
        <f t="shared" ref="K14:K15" si="7">H14/E14</f>
        <v>4.6683730062812276E-2</v>
      </c>
      <c r="N14" s="1895" t="s">
        <v>941</v>
      </c>
      <c r="O14" s="1896"/>
    </row>
    <row r="15" spans="2:16" ht="15" x14ac:dyDescent="0.25">
      <c r="B15" s="532" t="s">
        <v>930</v>
      </c>
      <c r="C15" s="667">
        <f>VISSIM.Outputs!C23</f>
        <v>2706879.7102546045</v>
      </c>
      <c r="D15" s="667">
        <f>VISSIM.Outputs!D23</f>
        <v>76398.265087611275</v>
      </c>
      <c r="E15" s="667">
        <f>VISSIM.Outputs!E23</f>
        <v>682709.80392156867</v>
      </c>
      <c r="F15" s="667">
        <f>VISSIM.Outputs!F23</f>
        <v>177049.79785145575</v>
      </c>
      <c r="G15" s="667">
        <f>VISSIM.Outputs!G23</f>
        <v>4746.6273938236054</v>
      </c>
      <c r="H15" s="667">
        <f>VISSIM.Outputs!H23</f>
        <v>39688.235294117643</v>
      </c>
      <c r="I15" s="259">
        <f>F15/C15</f>
        <v>6.5407338634490983E-2</v>
      </c>
      <c r="J15" s="259">
        <f t="shared" si="6"/>
        <v>6.2130041675426968E-2</v>
      </c>
      <c r="K15" s="259">
        <f t="shared" si="7"/>
        <v>5.8133390008673617E-2</v>
      </c>
      <c r="N15" s="1581" t="s">
        <v>942</v>
      </c>
      <c r="O15" s="1582">
        <v>2009</v>
      </c>
    </row>
    <row r="16" spans="2:16" ht="15" x14ac:dyDescent="0.25">
      <c r="N16" s="1583" t="s">
        <v>943</v>
      </c>
      <c r="O16" s="1587">
        <v>1.78</v>
      </c>
    </row>
    <row r="17" spans="2:15" ht="15" x14ac:dyDescent="0.25">
      <c r="N17" s="1583" t="s">
        <v>944</v>
      </c>
      <c r="O17" s="1587">
        <v>1.84</v>
      </c>
    </row>
    <row r="18" spans="2:15" ht="15" x14ac:dyDescent="0.25">
      <c r="N18" s="1583" t="s">
        <v>945</v>
      </c>
      <c r="O18" s="1587">
        <v>2.2000000000000002</v>
      </c>
    </row>
    <row r="19" spans="2:15" ht="15.75" thickBot="1" x14ac:dyDescent="0.3">
      <c r="N19" s="1585" t="s">
        <v>946</v>
      </c>
      <c r="O19" s="1586">
        <v>1.9400000000000002</v>
      </c>
    </row>
    <row r="20" spans="2:15" ht="15" x14ac:dyDescent="0.25">
      <c r="N20" s="1577" t="s">
        <v>947</v>
      </c>
    </row>
    <row r="23" spans="2:15" ht="15.75" thickBot="1" x14ac:dyDescent="0.3"/>
    <row r="24" spans="2:15" ht="18" x14ac:dyDescent="0.3">
      <c r="B24" s="1902" t="s">
        <v>823</v>
      </c>
      <c r="C24" s="1905" t="s">
        <v>832</v>
      </c>
      <c r="D24" s="1906"/>
      <c r="E24" s="1906"/>
      <c r="F24" s="1906"/>
      <c r="G24" s="1906"/>
      <c r="H24" s="1907"/>
      <c r="N24" s="1589" t="s">
        <v>610</v>
      </c>
      <c r="O24" s="1590" t="s">
        <v>948</v>
      </c>
    </row>
    <row r="25" spans="2:15" x14ac:dyDescent="0.3">
      <c r="B25" s="1903"/>
      <c r="C25" s="532" t="s">
        <v>348</v>
      </c>
      <c r="D25" s="532"/>
      <c r="E25" s="258"/>
      <c r="F25" s="532" t="s">
        <v>347</v>
      </c>
      <c r="G25" s="532"/>
      <c r="H25" s="258"/>
      <c r="N25" s="1583" t="s">
        <v>573</v>
      </c>
      <c r="O25" s="1587">
        <v>1.39</v>
      </c>
    </row>
    <row r="26" spans="2:15" x14ac:dyDescent="0.3">
      <c r="B26" s="1904"/>
      <c r="C26" s="532" t="s">
        <v>814</v>
      </c>
      <c r="D26" s="532" t="s">
        <v>815</v>
      </c>
      <c r="E26" s="532" t="s">
        <v>818</v>
      </c>
      <c r="F26" s="532" t="s">
        <v>814</v>
      </c>
      <c r="G26" s="532" t="s">
        <v>815</v>
      </c>
      <c r="H26" s="532" t="s">
        <v>818</v>
      </c>
      <c r="N26" s="1583" t="s">
        <v>574</v>
      </c>
      <c r="O26" s="1588">
        <f>O11</f>
        <v>1.1452991452991452</v>
      </c>
    </row>
    <row r="27" spans="2:15" ht="15" x14ac:dyDescent="0.25">
      <c r="B27" s="532" t="s">
        <v>830</v>
      </c>
      <c r="C27" s="667">
        <f t="shared" ref="C27:H27" si="8">C11-C$8</f>
        <v>288921.14436237002</v>
      </c>
      <c r="D27" s="667">
        <f t="shared" si="8"/>
        <v>-3316.0427939711153</v>
      </c>
      <c r="E27" s="667">
        <f t="shared" si="8"/>
        <v>48208.704162257491</v>
      </c>
      <c r="F27" s="667">
        <f t="shared" si="8"/>
        <v>-12531.751673471575</v>
      </c>
      <c r="G27" s="667">
        <f t="shared" si="8"/>
        <v>-910.37086158859938</v>
      </c>
      <c r="H27" s="667">
        <f t="shared" si="8"/>
        <v>-3827.446920790484</v>
      </c>
      <c r="N27" s="1583" t="s">
        <v>575</v>
      </c>
      <c r="O27" s="1588">
        <f>O11</f>
        <v>1.1452991452991452</v>
      </c>
    </row>
    <row r="28" spans="2:15" ht="15.75" thickBot="1" x14ac:dyDescent="0.3">
      <c r="B28" s="532" t="s">
        <v>931</v>
      </c>
      <c r="C28" s="667">
        <f t="shared" ref="C28:H28" si="9">C12-C$9</f>
        <v>427640.05399584072</v>
      </c>
      <c r="D28" s="667">
        <f t="shared" si="9"/>
        <v>-32410.853722283617</v>
      </c>
      <c r="E28" s="667">
        <f t="shared" si="9"/>
        <v>67366.666666666628</v>
      </c>
      <c r="F28" s="667">
        <f t="shared" si="9"/>
        <v>30939.87915923947</v>
      </c>
      <c r="G28" s="667">
        <f t="shared" si="9"/>
        <v>-2487.4516920660108</v>
      </c>
      <c r="H28" s="667">
        <f t="shared" si="9"/>
        <v>4798.0392156862727</v>
      </c>
      <c r="N28" s="1585" t="s">
        <v>347</v>
      </c>
      <c r="O28" s="1586">
        <v>1.07</v>
      </c>
    </row>
    <row r="29" spans="2:15" ht="15" x14ac:dyDescent="0.25">
      <c r="B29" s="532"/>
      <c r="C29" s="258"/>
      <c r="D29" s="258"/>
      <c r="E29" s="258"/>
      <c r="F29" s="258"/>
      <c r="G29" s="258"/>
      <c r="H29" s="258"/>
    </row>
    <row r="30" spans="2:15" ht="15" x14ac:dyDescent="0.25">
      <c r="B30" s="532" t="s">
        <v>828</v>
      </c>
      <c r="C30" s="667">
        <f t="shared" ref="C30:H30" si="10">C14-C$8</f>
        <v>315770.16397021478</v>
      </c>
      <c r="D30" s="667">
        <f t="shared" si="10"/>
        <v>97.464379231496423</v>
      </c>
      <c r="E30" s="667">
        <f t="shared" si="10"/>
        <v>55430.272789708455</v>
      </c>
      <c r="F30" s="667">
        <f t="shared" si="10"/>
        <v>-11494.496771510792</v>
      </c>
      <c r="G30" s="667">
        <f t="shared" si="10"/>
        <v>-729.75109579339232</v>
      </c>
      <c r="H30" s="667">
        <f t="shared" si="10"/>
        <v>-3545.0939796140156</v>
      </c>
    </row>
    <row r="31" spans="2:15" ht="15" x14ac:dyDescent="0.25">
      <c r="B31" s="532" t="s">
        <v>930</v>
      </c>
      <c r="C31" s="667">
        <f t="shared" ref="C31:H31" si="11">C15-C$9</f>
        <v>450003.23966636928</v>
      </c>
      <c r="D31" s="667">
        <f t="shared" si="11"/>
        <v>-25970.432835046668</v>
      </c>
      <c r="E31" s="667">
        <f t="shared" si="11"/>
        <v>77327.450980392168</v>
      </c>
      <c r="F31" s="667">
        <f t="shared" si="11"/>
        <v>30639.993929887132</v>
      </c>
      <c r="G31" s="667">
        <f t="shared" si="11"/>
        <v>-2092.0077358060244</v>
      </c>
      <c r="H31" s="667">
        <f t="shared" si="11"/>
        <v>5041.1764705882306</v>
      </c>
    </row>
    <row r="40" spans="2:8" ht="18" x14ac:dyDescent="0.3">
      <c r="B40" s="1902" t="s">
        <v>823</v>
      </c>
      <c r="C40" s="1905" t="s">
        <v>838</v>
      </c>
      <c r="D40" s="1906"/>
      <c r="E40" s="1906"/>
      <c r="F40" s="1906"/>
      <c r="G40" s="1906"/>
      <c r="H40" s="1907"/>
    </row>
    <row r="41" spans="2:8" x14ac:dyDescent="0.3">
      <c r="B41" s="1903"/>
      <c r="C41" s="532" t="s">
        <v>348</v>
      </c>
      <c r="D41" s="532"/>
      <c r="E41" s="258"/>
      <c r="F41" s="532" t="s">
        <v>347</v>
      </c>
      <c r="G41" s="532"/>
      <c r="H41" s="258"/>
    </row>
    <row r="42" spans="2:8" x14ac:dyDescent="0.3">
      <c r="B42" s="1904"/>
      <c r="C42" s="532" t="s">
        <v>814</v>
      </c>
      <c r="D42" s="532" t="s">
        <v>815</v>
      </c>
      <c r="E42" s="532" t="s">
        <v>818</v>
      </c>
      <c r="F42" s="532" t="s">
        <v>814</v>
      </c>
      <c r="G42" s="532" t="s">
        <v>815</v>
      </c>
      <c r="H42" s="532" t="s">
        <v>818</v>
      </c>
    </row>
    <row r="43" spans="2:8" ht="15" x14ac:dyDescent="0.25">
      <c r="B43" s="532" t="s">
        <v>830</v>
      </c>
      <c r="C43" s="259">
        <f t="shared" ref="C43:H43" si="12">C27/C$8</f>
        <v>0.14345369371731972</v>
      </c>
      <c r="D43" s="259">
        <f t="shared" si="12"/>
        <v>-6.3906193702895783E-2</v>
      </c>
      <c r="E43" s="259">
        <f t="shared" si="12"/>
        <v>8.9816245088835386E-2</v>
      </c>
      <c r="F43" s="259">
        <f t="shared" si="12"/>
        <v>-9.6271479944051483E-2</v>
      </c>
      <c r="G43" s="259">
        <f t="shared" si="12"/>
        <v>-0.27020501536954011</v>
      </c>
      <c r="H43" s="259">
        <f t="shared" si="12"/>
        <v>-0.12271315670258881</v>
      </c>
    </row>
    <row r="44" spans="2:8" ht="15" x14ac:dyDescent="0.25">
      <c r="B44" s="532" t="s">
        <v>931</v>
      </c>
      <c r="C44" s="259">
        <f t="shared" ref="C44:H44" si="13">C28/C$9</f>
        <v>0.18948314609544406</v>
      </c>
      <c r="D44" s="259">
        <f t="shared" si="13"/>
        <v>-0.31660902580563066</v>
      </c>
      <c r="E44" s="259">
        <f t="shared" si="13"/>
        <v>0.11127953489125322</v>
      </c>
      <c r="F44" s="259">
        <f t="shared" si="13"/>
        <v>0.21132382074504991</v>
      </c>
      <c r="G44" s="259">
        <f t="shared" si="13"/>
        <v>-0.36373510867522002</v>
      </c>
      <c r="H44" s="259">
        <f t="shared" si="13"/>
        <v>0.13848330503678546</v>
      </c>
    </row>
    <row r="45" spans="2:8" ht="15" x14ac:dyDescent="0.25">
      <c r="B45" s="532"/>
      <c r="C45" s="258"/>
      <c r="D45" s="258"/>
      <c r="E45" s="258"/>
      <c r="F45" s="258"/>
      <c r="G45" s="258"/>
      <c r="H45" s="258"/>
    </row>
    <row r="46" spans="2:8" ht="15" x14ac:dyDescent="0.25">
      <c r="B46" s="532" t="s">
        <v>828</v>
      </c>
      <c r="C46" s="259">
        <f t="shared" ref="C46:H46" si="14">C30/C$8</f>
        <v>0.15678463577742502</v>
      </c>
      <c r="D46" s="259">
        <f t="shared" si="14"/>
        <v>1.8783163804835859E-3</v>
      </c>
      <c r="E46" s="259">
        <f t="shared" si="14"/>
        <v>0.10327054113433622</v>
      </c>
      <c r="F46" s="259">
        <f t="shared" si="14"/>
        <v>-8.8303075598601857E-2</v>
      </c>
      <c r="G46" s="259">
        <f t="shared" si="14"/>
        <v>-0.21659569124467418</v>
      </c>
      <c r="H46" s="259">
        <f t="shared" si="14"/>
        <v>-0.11366053718020785</v>
      </c>
    </row>
    <row r="47" spans="2:8" ht="15" x14ac:dyDescent="0.25">
      <c r="B47" s="532" t="s">
        <v>930</v>
      </c>
      <c r="C47" s="259">
        <f t="shared" ref="C47:H47" si="15">C31/C$9</f>
        <v>0.19939205602559179</v>
      </c>
      <c r="D47" s="259">
        <f t="shared" si="15"/>
        <v>-0.25369505876364634</v>
      </c>
      <c r="E47" s="259">
        <f t="shared" si="15"/>
        <v>0.12773324264360558</v>
      </c>
      <c r="F47" s="259">
        <f t="shared" si="15"/>
        <v>0.20927556153480611</v>
      </c>
      <c r="G47" s="259">
        <f t="shared" si="15"/>
        <v>-0.30591012623879005</v>
      </c>
      <c r="H47" s="259">
        <f t="shared" si="15"/>
        <v>0.1455008488964345</v>
      </c>
    </row>
    <row r="56" spans="3:8" ht="15" x14ac:dyDescent="0.25">
      <c r="C56" s="1573" t="e">
        <f>#REF!</f>
        <v>#REF!</v>
      </c>
      <c r="D56" s="1573" t="e">
        <f>#REF!</f>
        <v>#REF!</v>
      </c>
      <c r="E56" s="1573" t="e">
        <f>#REF!</f>
        <v>#REF!</v>
      </c>
      <c r="F56" s="1573" t="e">
        <f>#REF!</f>
        <v>#REF!</v>
      </c>
      <c r="G56" s="1573" t="e">
        <f>#REF!</f>
        <v>#REF!</v>
      </c>
      <c r="H56" s="1573" t="e">
        <f>#REF!</f>
        <v>#REF!</v>
      </c>
    </row>
    <row r="57" spans="3:8" ht="15" x14ac:dyDescent="0.25">
      <c r="C57" s="1574" t="e">
        <f>#REF!</f>
        <v>#REF!</v>
      </c>
      <c r="D57" s="1574" t="e">
        <f>#REF!</f>
        <v>#REF!</v>
      </c>
      <c r="E57" s="1574" t="e">
        <f>#REF!</f>
        <v>#REF!</v>
      </c>
      <c r="F57" s="1574" t="e">
        <f>#REF!</f>
        <v>#REF!</v>
      </c>
      <c r="G57" s="1574" t="e">
        <f>#REF!</f>
        <v>#REF!</v>
      </c>
      <c r="H57" s="1574" t="e">
        <f>#REF!</f>
        <v>#REF!</v>
      </c>
    </row>
    <row r="58" spans="3:8" ht="15" x14ac:dyDescent="0.25">
      <c r="C58" s="1573" t="e">
        <f>#REF!</f>
        <v>#REF!</v>
      </c>
      <c r="D58" s="1573" t="e">
        <f>#REF!</f>
        <v>#REF!</v>
      </c>
      <c r="E58" s="1573" t="e">
        <f>#REF!</f>
        <v>#REF!</v>
      </c>
      <c r="F58" s="1573" t="e">
        <f>#REF!</f>
        <v>#REF!</v>
      </c>
      <c r="G58" s="1573" t="e">
        <f>#REF!</f>
        <v>#REF!</v>
      </c>
      <c r="H58" s="1573" t="e">
        <f>#REF!</f>
        <v>#REF!</v>
      </c>
    </row>
    <row r="59" spans="3:8" ht="15" x14ac:dyDescent="0.25">
      <c r="C59" s="1574" t="e">
        <f>#REF!</f>
        <v>#REF!</v>
      </c>
      <c r="D59" s="1574" t="e">
        <f>#REF!</f>
        <v>#REF!</v>
      </c>
      <c r="E59" s="1574" t="e">
        <f>#REF!</f>
        <v>#REF!</v>
      </c>
      <c r="F59" s="1574" t="e">
        <f>#REF!</f>
        <v>#REF!</v>
      </c>
      <c r="G59" s="1574" t="e">
        <f>#REF!</f>
        <v>#REF!</v>
      </c>
      <c r="H59" s="1574" t="e">
        <f>#REF!</f>
        <v>#REF!</v>
      </c>
    </row>
    <row r="60" spans="3:8" ht="15" x14ac:dyDescent="0.25">
      <c r="C60" s="1573">
        <f t="shared" ref="C60:H60" si="16">C30</f>
        <v>315770.16397021478</v>
      </c>
      <c r="D60" s="1573">
        <f t="shared" si="16"/>
        <v>97.464379231496423</v>
      </c>
      <c r="E60" s="1573">
        <f t="shared" si="16"/>
        <v>55430.272789708455</v>
      </c>
      <c r="F60" s="1573">
        <f t="shared" si="16"/>
        <v>-11494.496771510792</v>
      </c>
      <c r="G60" s="1573">
        <f t="shared" si="16"/>
        <v>-729.75109579339232</v>
      </c>
      <c r="H60" s="1573">
        <f t="shared" si="16"/>
        <v>-3545.0939796140156</v>
      </c>
    </row>
    <row r="61" spans="3:8" ht="15" x14ac:dyDescent="0.25">
      <c r="C61" s="1574">
        <f>C46</f>
        <v>0.15678463577742502</v>
      </c>
      <c r="D61" s="1574">
        <f t="shared" ref="D61:H61" si="17">D46</f>
        <v>1.8783163804835859E-3</v>
      </c>
      <c r="E61" s="1574">
        <f t="shared" si="17"/>
        <v>0.10327054113433622</v>
      </c>
      <c r="F61" s="1574">
        <f t="shared" si="17"/>
        <v>-8.8303075598601857E-2</v>
      </c>
      <c r="G61" s="1574">
        <f t="shared" si="17"/>
        <v>-0.21659569124467418</v>
      </c>
      <c r="H61" s="1574">
        <f t="shared" si="17"/>
        <v>-0.11366053718020785</v>
      </c>
    </row>
    <row r="62" spans="3:8" x14ac:dyDescent="0.3">
      <c r="C62" s="1573">
        <f t="shared" ref="C62:H62" si="18">C31</f>
        <v>450003.23966636928</v>
      </c>
      <c r="D62" s="1573">
        <f t="shared" si="18"/>
        <v>-25970.432835046668</v>
      </c>
      <c r="E62" s="1573">
        <f t="shared" si="18"/>
        <v>77327.450980392168</v>
      </c>
      <c r="F62" s="1573">
        <f t="shared" si="18"/>
        <v>30639.993929887132</v>
      </c>
      <c r="G62" s="1573">
        <f t="shared" si="18"/>
        <v>-2092.0077358060244</v>
      </c>
      <c r="H62" s="1573">
        <f t="shared" si="18"/>
        <v>5041.1764705882306</v>
      </c>
    </row>
    <row r="63" spans="3:8" x14ac:dyDescent="0.3">
      <c r="C63" s="1574">
        <f>C47</f>
        <v>0.19939205602559179</v>
      </c>
      <c r="D63" s="1574">
        <f t="shared" ref="D63:H63" si="19">D47</f>
        <v>-0.25369505876364634</v>
      </c>
      <c r="E63" s="1574">
        <f t="shared" si="19"/>
        <v>0.12773324264360558</v>
      </c>
      <c r="F63" s="1574">
        <f t="shared" si="19"/>
        <v>0.20927556153480611</v>
      </c>
      <c r="G63" s="1574">
        <f t="shared" si="19"/>
        <v>-0.30591012623879005</v>
      </c>
      <c r="H63" s="1574">
        <f t="shared" si="19"/>
        <v>0.1455008488964345</v>
      </c>
    </row>
    <row r="64" spans="3:8" x14ac:dyDescent="0.3">
      <c r="C64" s="1573" t="e">
        <f>#REF!</f>
        <v>#REF!</v>
      </c>
      <c r="D64" s="1573" t="e">
        <f>#REF!</f>
        <v>#REF!</v>
      </c>
      <c r="E64" s="1573" t="e">
        <f>#REF!</f>
        <v>#REF!</v>
      </c>
      <c r="F64" s="1573" t="e">
        <f>#REF!</f>
        <v>#REF!</v>
      </c>
      <c r="G64" s="1573" t="e">
        <f>#REF!</f>
        <v>#REF!</v>
      </c>
      <c r="H64" s="1573" t="e">
        <f>#REF!</f>
        <v>#REF!</v>
      </c>
    </row>
    <row r="65" spans="3:8" x14ac:dyDescent="0.3">
      <c r="C65" s="1574" t="e">
        <f>#REF!</f>
        <v>#REF!</v>
      </c>
      <c r="D65" s="1574" t="e">
        <f>#REF!</f>
        <v>#REF!</v>
      </c>
      <c r="E65" s="1574" t="e">
        <f>#REF!</f>
        <v>#REF!</v>
      </c>
      <c r="F65" s="1574" t="e">
        <f>#REF!</f>
        <v>#REF!</v>
      </c>
      <c r="G65" s="1574" t="e">
        <f>#REF!</f>
        <v>#REF!</v>
      </c>
      <c r="H65" s="1574" t="e">
        <f>#REF!</f>
        <v>#REF!</v>
      </c>
    </row>
    <row r="66" spans="3:8" x14ac:dyDescent="0.3">
      <c r="C66" s="1573" t="e">
        <f>#REF!</f>
        <v>#REF!</v>
      </c>
      <c r="D66" s="1573" t="e">
        <f>#REF!</f>
        <v>#REF!</v>
      </c>
      <c r="E66" s="1573" t="e">
        <f>#REF!</f>
        <v>#REF!</v>
      </c>
      <c r="F66" s="1573" t="e">
        <f>#REF!</f>
        <v>#REF!</v>
      </c>
      <c r="G66" s="1573" t="e">
        <f>#REF!</f>
        <v>#REF!</v>
      </c>
      <c r="H66" s="1573" t="e">
        <f>#REF!</f>
        <v>#REF!</v>
      </c>
    </row>
    <row r="67" spans="3:8" x14ac:dyDescent="0.3">
      <c r="C67" s="1574" t="e">
        <f>#REF!</f>
        <v>#REF!</v>
      </c>
      <c r="D67" s="1574" t="e">
        <f>#REF!</f>
        <v>#REF!</v>
      </c>
      <c r="E67" s="1574" t="e">
        <f>#REF!</f>
        <v>#REF!</v>
      </c>
      <c r="F67" s="1574" t="e">
        <f>#REF!</f>
        <v>#REF!</v>
      </c>
      <c r="G67" s="1574" t="e">
        <f>#REF!</f>
        <v>#REF!</v>
      </c>
      <c r="H67" s="1574" t="e">
        <f>#REF!</f>
        <v>#REF!</v>
      </c>
    </row>
    <row r="68" spans="3:8" x14ac:dyDescent="0.3">
      <c r="C68" s="1573">
        <f t="shared" ref="C68:H68" si="20">C27</f>
        <v>288921.14436237002</v>
      </c>
      <c r="D68" s="1573">
        <f t="shared" si="20"/>
        <v>-3316.0427939711153</v>
      </c>
      <c r="E68" s="1573">
        <f t="shared" si="20"/>
        <v>48208.704162257491</v>
      </c>
      <c r="F68" s="1573">
        <f t="shared" si="20"/>
        <v>-12531.751673471575</v>
      </c>
      <c r="G68" s="1573">
        <f t="shared" si="20"/>
        <v>-910.37086158859938</v>
      </c>
      <c r="H68" s="1573">
        <f t="shared" si="20"/>
        <v>-3827.446920790484</v>
      </c>
    </row>
    <row r="69" spans="3:8" x14ac:dyDescent="0.3">
      <c r="C69" s="1574">
        <f t="shared" ref="C69:H69" si="21">C43</f>
        <v>0.14345369371731972</v>
      </c>
      <c r="D69" s="1574">
        <f t="shared" si="21"/>
        <v>-6.3906193702895783E-2</v>
      </c>
      <c r="E69" s="1574">
        <f t="shared" si="21"/>
        <v>8.9816245088835386E-2</v>
      </c>
      <c r="F69" s="1574">
        <f t="shared" si="21"/>
        <v>-9.6271479944051483E-2</v>
      </c>
      <c r="G69" s="1574">
        <f t="shared" si="21"/>
        <v>-0.27020501536954011</v>
      </c>
      <c r="H69" s="1574">
        <f t="shared" si="21"/>
        <v>-0.12271315670258881</v>
      </c>
    </row>
    <row r="70" spans="3:8" x14ac:dyDescent="0.3">
      <c r="C70" s="1573">
        <f t="shared" ref="C70:H70" si="22">C28</f>
        <v>427640.05399584072</v>
      </c>
      <c r="D70" s="1573">
        <f t="shared" si="22"/>
        <v>-32410.853722283617</v>
      </c>
      <c r="E70" s="1573">
        <f t="shared" si="22"/>
        <v>67366.666666666628</v>
      </c>
      <c r="F70" s="1573">
        <f t="shared" si="22"/>
        <v>30939.87915923947</v>
      </c>
      <c r="G70" s="1573">
        <f t="shared" si="22"/>
        <v>-2487.4516920660108</v>
      </c>
      <c r="H70" s="1573">
        <f t="shared" si="22"/>
        <v>4798.0392156862727</v>
      </c>
    </row>
    <row r="71" spans="3:8" x14ac:dyDescent="0.3">
      <c r="C71" s="1574">
        <f t="shared" ref="C71:H71" si="23">C44</f>
        <v>0.18948314609544406</v>
      </c>
      <c r="D71" s="1574">
        <f t="shared" si="23"/>
        <v>-0.31660902580563066</v>
      </c>
      <c r="E71" s="1574">
        <f t="shared" si="23"/>
        <v>0.11127953489125322</v>
      </c>
      <c r="F71" s="1574">
        <f t="shared" si="23"/>
        <v>0.21132382074504991</v>
      </c>
      <c r="G71" s="1574">
        <f t="shared" si="23"/>
        <v>-0.36373510867522002</v>
      </c>
      <c r="H71" s="1574">
        <f t="shared" si="23"/>
        <v>0.13848330503678546</v>
      </c>
    </row>
  </sheetData>
  <mergeCells count="12">
    <mergeCell ref="N14:O14"/>
    <mergeCell ref="N5:O5"/>
    <mergeCell ref="B2:K2"/>
    <mergeCell ref="B24:B26"/>
    <mergeCell ref="B40:B42"/>
    <mergeCell ref="C40:H40"/>
    <mergeCell ref="C24:H24"/>
    <mergeCell ref="B5:B7"/>
    <mergeCell ref="I6:I7"/>
    <mergeCell ref="J6:J7"/>
    <mergeCell ref="K6:K7"/>
    <mergeCell ref="C5:K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U108"/>
  <sheetViews>
    <sheetView topLeftCell="B34" zoomScale="55" zoomScaleNormal="55" workbookViewId="0">
      <selection activeCell="B75" sqref="B75:D76"/>
    </sheetView>
  </sheetViews>
  <sheetFormatPr defaultColWidth="9.109375" defaultRowHeight="14.4" x14ac:dyDescent="0.3"/>
  <cols>
    <col min="1" max="1" width="6.6640625" style="574" customWidth="1"/>
    <col min="2" max="2" width="33.88671875" style="574" bestFit="1" customWidth="1"/>
    <col min="3" max="6" width="13.44140625" style="574" customWidth="1"/>
    <col min="7" max="7" width="13.109375" style="574" customWidth="1"/>
    <col min="8" max="8" width="42.44140625" style="574" bestFit="1" customWidth="1"/>
    <col min="9" max="9" width="10.6640625" style="574" bestFit="1" customWidth="1"/>
    <col min="10" max="10" width="11.109375" style="574" bestFit="1" customWidth="1"/>
    <col min="11" max="11" width="8.33203125" style="574" customWidth="1"/>
    <col min="12" max="12" width="10.88671875" style="574" customWidth="1"/>
    <col min="13" max="13" width="12.33203125" style="574" customWidth="1"/>
    <col min="14" max="14" width="13.5546875" style="574" customWidth="1"/>
    <col min="15" max="15" width="5" style="574" customWidth="1"/>
    <col min="16" max="16" width="43.6640625" style="415" customWidth="1"/>
    <col min="17" max="17" width="14" style="574" customWidth="1"/>
    <col min="18" max="18" width="15.33203125" style="574" customWidth="1"/>
    <col min="19" max="19" width="10.109375" style="574" bestFit="1" customWidth="1"/>
    <col min="20" max="20" width="7.33203125" style="574" customWidth="1"/>
    <col min="21" max="21" width="13.88671875" style="574" customWidth="1"/>
    <col min="22" max="38" width="12" style="574" customWidth="1"/>
    <col min="39" max="39" width="10.6640625" style="574" bestFit="1" customWidth="1"/>
    <col min="40" max="41" width="10.6640625" style="574" customWidth="1"/>
    <col min="42" max="42" width="9.109375" style="574" customWidth="1"/>
    <col min="43" max="43" width="14.44140625" style="574" customWidth="1"/>
    <col min="44" max="44" width="13.88671875" style="574" bestFit="1" customWidth="1"/>
    <col min="45" max="48" width="14.44140625" style="574" bestFit="1" customWidth="1"/>
    <col min="49" max="51" width="13.88671875" style="574" bestFit="1" customWidth="1"/>
    <col min="52" max="52" width="14.44140625" style="574" bestFit="1" customWidth="1"/>
    <col min="53" max="54" width="13.88671875" style="574" bestFit="1" customWidth="1"/>
    <col min="55" max="56" width="14.44140625" style="574" bestFit="1" customWidth="1"/>
    <col min="57" max="57" width="13.88671875" style="574" bestFit="1" customWidth="1"/>
    <col min="58" max="59" width="14.44140625" style="574" bestFit="1" customWidth="1"/>
    <col min="60" max="60" width="13.88671875" style="574" bestFit="1" customWidth="1"/>
    <col min="61" max="61" width="13.5546875" style="574" bestFit="1" customWidth="1"/>
    <col min="62" max="63" width="13.5546875" style="574" customWidth="1"/>
    <col min="64" max="64" width="14.44140625" style="574" bestFit="1" customWidth="1"/>
    <col min="65" max="16384" width="9.109375" style="574"/>
  </cols>
  <sheetData>
    <row r="1" spans="1:64" ht="15.75" thickBot="1" x14ac:dyDescent="0.3"/>
    <row r="2" spans="1:64" ht="27" thickBot="1" x14ac:dyDescent="0.3">
      <c r="B2" s="1899" t="s">
        <v>851</v>
      </c>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c r="AR2" s="1900"/>
      <c r="AS2" s="1900"/>
      <c r="AT2" s="1900"/>
      <c r="AU2" s="1900"/>
      <c r="AV2" s="1900"/>
      <c r="AW2" s="1900"/>
      <c r="AX2" s="1900"/>
      <c r="AY2" s="1900"/>
      <c r="AZ2" s="1900"/>
      <c r="BA2" s="1900"/>
      <c r="BB2" s="1900"/>
      <c r="BC2" s="1900"/>
      <c r="BD2" s="1900"/>
      <c r="BE2" s="1900"/>
      <c r="BF2" s="1900"/>
      <c r="BG2" s="1900"/>
      <c r="BH2" s="1900"/>
      <c r="BI2" s="1901"/>
      <c r="BJ2" s="1426"/>
      <c r="BK2" s="1426"/>
    </row>
    <row r="4" spans="1:64" ht="51.75" customHeight="1" thickBot="1" x14ac:dyDescent="0.4">
      <c r="A4" s="1366"/>
      <c r="B4" s="1912" t="s">
        <v>839</v>
      </c>
      <c r="C4" s="1912"/>
      <c r="D4" s="1912"/>
      <c r="E4" s="1912"/>
      <c r="F4" s="1912"/>
      <c r="G4" s="1367"/>
      <c r="H4" s="865" t="s">
        <v>502</v>
      </c>
      <c r="I4" s="1368"/>
      <c r="J4" s="1368"/>
      <c r="K4" s="1367"/>
      <c r="L4" s="1917" t="s">
        <v>850</v>
      </c>
      <c r="M4" s="1917"/>
      <c r="N4" s="1917"/>
      <c r="P4" s="861" t="s">
        <v>502</v>
      </c>
      <c r="AQ4" s="1910" t="s">
        <v>636</v>
      </c>
      <c r="AR4" s="1910"/>
      <c r="AS4" s="1910"/>
      <c r="AT4" s="1910"/>
      <c r="AU4" s="1910"/>
      <c r="AV4" s="1910"/>
      <c r="AW4" s="1910"/>
      <c r="AX4" s="1910"/>
      <c r="AY4" s="1910"/>
      <c r="AZ4" s="1910"/>
      <c r="BA4" s="1910"/>
      <c r="BB4" s="1910"/>
      <c r="BC4" s="1910"/>
      <c r="BD4" s="1910"/>
      <c r="BE4" s="1910"/>
      <c r="BF4" s="1910"/>
      <c r="BG4" s="1910"/>
      <c r="BH4" s="1910"/>
      <c r="BI4" s="1910"/>
      <c r="BJ4" s="1403"/>
      <c r="BK4" s="1403"/>
    </row>
    <row r="5" spans="1:64" s="253" customFormat="1" ht="15.6" x14ac:dyDescent="0.3">
      <c r="A5" s="255"/>
      <c r="B5" s="1913" t="s">
        <v>823</v>
      </c>
      <c r="C5" s="1915" t="s">
        <v>348</v>
      </c>
      <c r="D5" s="1915"/>
      <c r="E5" s="1915" t="s">
        <v>347</v>
      </c>
      <c r="F5" s="1916"/>
      <c r="G5" s="1369"/>
      <c r="H5" s="862" t="s">
        <v>0</v>
      </c>
      <c r="I5" s="1370">
        <v>2023</v>
      </c>
      <c r="J5" s="1370">
        <v>2041</v>
      </c>
      <c r="K5" s="1369"/>
      <c r="L5" s="1370">
        <v>2023</v>
      </c>
      <c r="M5" s="1370">
        <v>2040</v>
      </c>
      <c r="N5" s="1370" t="s">
        <v>840</v>
      </c>
      <c r="O5" s="574"/>
      <c r="P5" s="1371" t="s">
        <v>0</v>
      </c>
      <c r="Q5" s="1370">
        <v>2023</v>
      </c>
      <c r="R5" s="1370">
        <v>2041</v>
      </c>
      <c r="S5" s="1370" t="s">
        <v>211</v>
      </c>
      <c r="T5" s="1372"/>
      <c r="U5" s="1370">
        <f>2023</f>
        <v>2023</v>
      </c>
      <c r="V5" s="1370">
        <f>U5+1</f>
        <v>2024</v>
      </c>
      <c r="W5" s="1370">
        <f t="shared" ref="W5:AL5" si="0">V5+1</f>
        <v>2025</v>
      </c>
      <c r="X5" s="1370">
        <f t="shared" si="0"/>
        <v>2026</v>
      </c>
      <c r="Y5" s="1370">
        <f t="shared" si="0"/>
        <v>2027</v>
      </c>
      <c r="Z5" s="1370">
        <f t="shared" si="0"/>
        <v>2028</v>
      </c>
      <c r="AA5" s="1370">
        <f t="shared" si="0"/>
        <v>2029</v>
      </c>
      <c r="AB5" s="1370">
        <f t="shared" si="0"/>
        <v>2030</v>
      </c>
      <c r="AC5" s="1370">
        <f t="shared" si="0"/>
        <v>2031</v>
      </c>
      <c r="AD5" s="1370">
        <f t="shared" si="0"/>
        <v>2032</v>
      </c>
      <c r="AE5" s="1370">
        <f t="shared" si="0"/>
        <v>2033</v>
      </c>
      <c r="AF5" s="1370">
        <f t="shared" si="0"/>
        <v>2034</v>
      </c>
      <c r="AG5" s="1370">
        <f t="shared" si="0"/>
        <v>2035</v>
      </c>
      <c r="AH5" s="1370">
        <f t="shared" si="0"/>
        <v>2036</v>
      </c>
      <c r="AI5" s="1370">
        <f t="shared" si="0"/>
        <v>2037</v>
      </c>
      <c r="AJ5" s="1370">
        <f t="shared" si="0"/>
        <v>2038</v>
      </c>
      <c r="AK5" s="1370">
        <f t="shared" si="0"/>
        <v>2039</v>
      </c>
      <c r="AL5" s="1370">
        <f t="shared" si="0"/>
        <v>2040</v>
      </c>
      <c r="AM5" s="1370">
        <f t="shared" ref="AM5" si="1">AL5+1</f>
        <v>2041</v>
      </c>
      <c r="AN5" s="1370">
        <f t="shared" ref="AN5" si="2">AM5+1</f>
        <v>2042</v>
      </c>
      <c r="AO5" s="1370">
        <f t="shared" ref="AO5" si="3">AN5+1</f>
        <v>2043</v>
      </c>
      <c r="AQ5" s="1370">
        <f>2023</f>
        <v>2023</v>
      </c>
      <c r="AR5" s="1370">
        <f>AQ5+1</f>
        <v>2024</v>
      </c>
      <c r="AS5" s="1370">
        <f t="shared" ref="AS5:BI5" si="4">AR5+1</f>
        <v>2025</v>
      </c>
      <c r="AT5" s="1370">
        <f t="shared" si="4"/>
        <v>2026</v>
      </c>
      <c r="AU5" s="1370">
        <f t="shared" si="4"/>
        <v>2027</v>
      </c>
      <c r="AV5" s="1370">
        <f t="shared" si="4"/>
        <v>2028</v>
      </c>
      <c r="AW5" s="1370">
        <f t="shared" si="4"/>
        <v>2029</v>
      </c>
      <c r="AX5" s="1370">
        <f t="shared" si="4"/>
        <v>2030</v>
      </c>
      <c r="AY5" s="1370">
        <f t="shared" si="4"/>
        <v>2031</v>
      </c>
      <c r="AZ5" s="1370">
        <f t="shared" si="4"/>
        <v>2032</v>
      </c>
      <c r="BA5" s="1370">
        <f t="shared" si="4"/>
        <v>2033</v>
      </c>
      <c r="BB5" s="1370">
        <f t="shared" si="4"/>
        <v>2034</v>
      </c>
      <c r="BC5" s="1370">
        <f t="shared" si="4"/>
        <v>2035</v>
      </c>
      <c r="BD5" s="1370">
        <f t="shared" si="4"/>
        <v>2036</v>
      </c>
      <c r="BE5" s="1370">
        <f t="shared" si="4"/>
        <v>2037</v>
      </c>
      <c r="BF5" s="1370">
        <f t="shared" si="4"/>
        <v>2038</v>
      </c>
      <c r="BG5" s="1370">
        <f t="shared" si="4"/>
        <v>2039</v>
      </c>
      <c r="BH5" s="1370">
        <f t="shared" si="4"/>
        <v>2040</v>
      </c>
      <c r="BI5" s="1370">
        <f t="shared" si="4"/>
        <v>2041</v>
      </c>
      <c r="BJ5" s="1370">
        <f t="shared" ref="BJ5" si="5">BI5+1</f>
        <v>2042</v>
      </c>
      <c r="BK5" s="1370">
        <f t="shared" ref="BK5" si="6">BJ5+1</f>
        <v>2043</v>
      </c>
      <c r="BL5" s="253" t="s">
        <v>636</v>
      </c>
    </row>
    <row r="6" spans="1:64" ht="16.5" customHeight="1" x14ac:dyDescent="0.3">
      <c r="A6" s="1373"/>
      <c r="B6" s="1914"/>
      <c r="C6" s="1369" t="s">
        <v>814</v>
      </c>
      <c r="D6" s="1369" t="s">
        <v>815</v>
      </c>
      <c r="E6" s="1369" t="s">
        <v>814</v>
      </c>
      <c r="F6" s="1374" t="s">
        <v>815</v>
      </c>
      <c r="G6" s="1375"/>
      <c r="H6" s="863" t="s">
        <v>841</v>
      </c>
      <c r="I6" s="864">
        <f>C7</f>
        <v>2014037.6791670402</v>
      </c>
      <c r="J6" s="864">
        <f>C8</f>
        <v>2256876.4705882352</v>
      </c>
      <c r="K6" s="1375"/>
      <c r="L6" s="1376">
        <v>0.5173347383041913</v>
      </c>
      <c r="M6" s="1376">
        <v>0.53672524650989595</v>
      </c>
      <c r="N6" s="1376">
        <v>0.52702999240704362</v>
      </c>
      <c r="P6" s="1377" t="s">
        <v>561</v>
      </c>
      <c r="Q6" s="1373">
        <f>I6*L6</f>
        <v>1041931.6556866615</v>
      </c>
      <c r="R6" s="1373">
        <f>J6*M6</f>
        <v>1211322.5800188545</v>
      </c>
      <c r="S6" s="879">
        <f t="shared" ref="S6:S13" si="7">(R6/Q6)^(1/($R$5-$Q$5))-1</f>
        <v>8.4038071885899068E-3</v>
      </c>
      <c r="T6" s="1378"/>
      <c r="U6" s="1373">
        <f>$Q$6*(1+$S$6)^(U5-$Q$5)</f>
        <v>1041931.6556866615</v>
      </c>
      <c r="V6" s="1373">
        <f t="shared" ref="V6:AM6" si="8">$Q$6*(1+$S$6)^(V5-$Q$5)</f>
        <v>1050687.8484247404</v>
      </c>
      <c r="W6" s="1373">
        <f t="shared" si="8"/>
        <v>1059517.6265182963</v>
      </c>
      <c r="X6" s="1373">
        <f t="shared" si="8"/>
        <v>1068421.6083644684</v>
      </c>
      <c r="Y6" s="1373">
        <f t="shared" si="8"/>
        <v>1077400.4175572866</v>
      </c>
      <c r="Z6" s="1373">
        <f t="shared" si="8"/>
        <v>1086454.6829313443</v>
      </c>
      <c r="AA6" s="1373">
        <f t="shared" si="8"/>
        <v>1095585.0386058399</v>
      </c>
      <c r="AB6" s="1373">
        <f t="shared" si="8"/>
        <v>1104792.1240289873</v>
      </c>
      <c r="AC6" s="1373">
        <f t="shared" si="8"/>
        <v>1114076.5840227995</v>
      </c>
      <c r="AD6" s="1373">
        <f t="shared" si="8"/>
        <v>1123439.06882825</v>
      </c>
      <c r="AE6" s="1373">
        <f t="shared" si="8"/>
        <v>1132880.2341508116</v>
      </c>
      <c r="AF6" s="1373">
        <f t="shared" si="8"/>
        <v>1142400.7412063796</v>
      </c>
      <c r="AG6" s="1373">
        <f t="shared" si="8"/>
        <v>1152001.2567675801</v>
      </c>
      <c r="AH6" s="1373">
        <f t="shared" si="8"/>
        <v>1161682.4532104682</v>
      </c>
      <c r="AI6" s="1373">
        <f t="shared" si="8"/>
        <v>1171445.0085616172</v>
      </c>
      <c r="AJ6" s="1373">
        <f t="shared" si="8"/>
        <v>1181289.606545605</v>
      </c>
      <c r="AK6" s="1373">
        <f t="shared" si="8"/>
        <v>1191216.9366328993</v>
      </c>
      <c r="AL6" s="1373">
        <f t="shared" si="8"/>
        <v>1201227.6940881449</v>
      </c>
      <c r="AM6" s="1373">
        <f t="shared" si="8"/>
        <v>1211322.5800188561</v>
      </c>
      <c r="AN6" s="1373">
        <f t="shared" ref="AN6:AO6" si="9">$Q$6*(1+$S$6)^(AN5-$Q$5)</f>
        <v>1221502.3014245199</v>
      </c>
      <c r="AO6" s="1373">
        <f t="shared" si="9"/>
        <v>1231767.5712461104</v>
      </c>
      <c r="AQ6" s="1373">
        <f t="shared" ref="AQ6:BI6" si="10">U6*315</f>
        <v>328208471.54129839</v>
      </c>
      <c r="AR6" s="1373">
        <f t="shared" si="10"/>
        <v>330966672.25379324</v>
      </c>
      <c r="AS6" s="1373">
        <f t="shared" si="10"/>
        <v>333748052.35326332</v>
      </c>
      <c r="AT6" s="1373">
        <f t="shared" si="10"/>
        <v>336552806.63480759</v>
      </c>
      <c r="AU6" s="1373">
        <f t="shared" si="10"/>
        <v>339381131.53054529</v>
      </c>
      <c r="AV6" s="1373">
        <f t="shared" si="10"/>
        <v>342233225.12337345</v>
      </c>
      <c r="AW6" s="1373">
        <f t="shared" si="10"/>
        <v>345109287.16083956</v>
      </c>
      <c r="AX6" s="1373">
        <f t="shared" si="10"/>
        <v>348009519.06913096</v>
      </c>
      <c r="AY6" s="1373">
        <f t="shared" si="10"/>
        <v>350934123.96718186</v>
      </c>
      <c r="AZ6" s="1373">
        <f t="shared" si="10"/>
        <v>353883306.68089879</v>
      </c>
      <c r="BA6" s="1373">
        <f t="shared" si="10"/>
        <v>356857273.75750566</v>
      </c>
      <c r="BB6" s="1373">
        <f t="shared" si="10"/>
        <v>359856233.48000956</v>
      </c>
      <c r="BC6" s="1373">
        <f t="shared" si="10"/>
        <v>362880395.88178772</v>
      </c>
      <c r="BD6" s="1373">
        <f t="shared" si="10"/>
        <v>365929972.76129746</v>
      </c>
      <c r="BE6" s="1373">
        <f t="shared" si="10"/>
        <v>369005177.69690943</v>
      </c>
      <c r="BF6" s="1373">
        <f t="shared" si="10"/>
        <v>372106226.06186557</v>
      </c>
      <c r="BG6" s="1373">
        <f t="shared" si="10"/>
        <v>375233335.03936327</v>
      </c>
      <c r="BH6" s="1373">
        <f t="shared" si="10"/>
        <v>378386723.63776565</v>
      </c>
      <c r="BI6" s="1373">
        <f t="shared" si="10"/>
        <v>381566612.70593965</v>
      </c>
      <c r="BJ6" s="1373">
        <f t="shared" ref="BJ6:BK6" si="11">AN6*315</f>
        <v>384773224.94872373</v>
      </c>
      <c r="BK6" s="1373">
        <f t="shared" si="11"/>
        <v>388006784.94252479</v>
      </c>
      <c r="BL6" s="1373">
        <f>BI6+BI7+BI8+BI9</f>
        <v>740703445.50686574</v>
      </c>
    </row>
    <row r="7" spans="1:64" ht="19.5" customHeight="1" x14ac:dyDescent="0.25">
      <c r="A7" s="1373"/>
      <c r="B7" s="964" t="s">
        <v>842</v>
      </c>
      <c r="C7" s="1375">
        <f>VMT.VHT.ADT.Change!C8</f>
        <v>2014037.6791670402</v>
      </c>
      <c r="D7" s="1375">
        <f>VMT.VHT.ADT.Change!D8</f>
        <v>51889.223905082232</v>
      </c>
      <c r="E7" s="1375">
        <f>VMT.VHT.ADT.Change!F8</f>
        <v>130170.96735974608</v>
      </c>
      <c r="F7" s="1379">
        <f>VMT.VHT.ADT.Change!G8</f>
        <v>3369.185654616922</v>
      </c>
      <c r="G7" s="1375"/>
      <c r="H7" s="863" t="s">
        <v>843</v>
      </c>
      <c r="I7" s="864">
        <f>D7</f>
        <v>51889.223905082232</v>
      </c>
      <c r="J7" s="864">
        <f>D8</f>
        <v>102368.69792265794</v>
      </c>
      <c r="K7" s="1375"/>
      <c r="L7" s="1376">
        <v>0.51723810091980094</v>
      </c>
      <c r="M7" s="1376">
        <v>0.53670408125166136</v>
      </c>
      <c r="N7" s="1376">
        <v>0.52697109108573115</v>
      </c>
      <c r="P7" s="1377" t="s">
        <v>565</v>
      </c>
      <c r="Q7" s="1373">
        <f>I7*L7</f>
        <v>26839.08363086707</v>
      </c>
      <c r="R7" s="1373">
        <f>J7*M7</f>
        <v>54941.697967508982</v>
      </c>
      <c r="S7" s="879">
        <f t="shared" si="7"/>
        <v>4.0603408473986136E-2</v>
      </c>
      <c r="T7" s="1378"/>
      <c r="U7" s="1373">
        <f>$Q$7*(1+$S$7)^(U5-$Q$5)</f>
        <v>26839.08363086707</v>
      </c>
      <c r="V7" s="1373">
        <f t="shared" ref="V7:AM7" si="12">$Q$7*(1+$S$7)^(V5-$Q$5)</f>
        <v>27928.841906598642</v>
      </c>
      <c r="W7" s="1373">
        <f t="shared" si="12"/>
        <v>29062.848082737644</v>
      </c>
      <c r="X7" s="1373">
        <f t="shared" si="12"/>
        <v>30242.898774858444</v>
      </c>
      <c r="Y7" s="1373">
        <f t="shared" si="12"/>
        <v>31470.863547251432</v>
      </c>
      <c r="Z7" s="1373">
        <f t="shared" si="12"/>
        <v>32748.687874889561</v>
      </c>
      <c r="AA7" s="1373">
        <f t="shared" si="12"/>
        <v>34078.396225660777</v>
      </c>
      <c r="AB7" s="1373">
        <f t="shared" si="12"/>
        <v>35462.095267749624</v>
      </c>
      <c r="AC7" s="1373">
        <f t="shared" si="12"/>
        <v>36901.977207249474</v>
      </c>
      <c r="AD7" s="1373">
        <f t="shared" si="12"/>
        <v>38400.323261293146</v>
      </c>
      <c r="AE7" s="1373">
        <f t="shared" si="12"/>
        <v>39959.507272204544</v>
      </c>
      <c r="AF7" s="1373">
        <f t="shared" si="12"/>
        <v>41581.99946839708</v>
      </c>
      <c r="AG7" s="1373">
        <f t="shared" si="12"/>
        <v>43270.370377977481</v>
      </c>
      <c r="AH7" s="1373">
        <f t="shared" si="12"/>
        <v>45027.294901255169</v>
      </c>
      <c r="AI7" s="1373">
        <f t="shared" si="12"/>
        <v>46855.556548609464</v>
      </c>
      <c r="AJ7" s="1373">
        <f t="shared" si="12"/>
        <v>48758.051850428601</v>
      </c>
      <c r="AK7" s="1373">
        <f t="shared" si="12"/>
        <v>50737.794946107344</v>
      </c>
      <c r="AL7" s="1373">
        <f t="shared" si="12"/>
        <v>52797.922359373493</v>
      </c>
      <c r="AM7" s="1373">
        <f t="shared" si="12"/>
        <v>54941.697967508939</v>
      </c>
      <c r="AN7" s="1373">
        <f t="shared" ref="AN7:AO7" si="13">$Q$7*(1+$S$7)^(AN5-$Q$5)</f>
        <v>57172.518172338074</v>
      </c>
      <c r="AO7" s="1373">
        <f t="shared" si="13"/>
        <v>59493.917281175913</v>
      </c>
      <c r="AQ7" s="1373">
        <f t="shared" ref="AQ7:BI7" si="14">U8*315</f>
        <v>177812159.16264874</v>
      </c>
      <c r="AR7" s="1373">
        <f t="shared" si="14"/>
        <v>177951687.01386541</v>
      </c>
      <c r="AS7" s="1373">
        <f t="shared" si="14"/>
        <v>178091324.35152757</v>
      </c>
      <c r="AT7" s="1373">
        <f t="shared" si="14"/>
        <v>178231071.26154837</v>
      </c>
      <c r="AU7" s="1373">
        <f t="shared" si="14"/>
        <v>178370927.82990837</v>
      </c>
      <c r="AV7" s="1373">
        <f t="shared" si="14"/>
        <v>178510894.1426557</v>
      </c>
      <c r="AW7" s="1373">
        <f t="shared" si="14"/>
        <v>178650970.28590593</v>
      </c>
      <c r="AX7" s="1373">
        <f t="shared" si="14"/>
        <v>178791156.34584215</v>
      </c>
      <c r="AY7" s="1373">
        <f t="shared" si="14"/>
        <v>178931452.40871525</v>
      </c>
      <c r="AZ7" s="1373">
        <f t="shared" si="14"/>
        <v>179071858.56084365</v>
      </c>
      <c r="BA7" s="1373">
        <f t="shared" si="14"/>
        <v>179212374.88861361</v>
      </c>
      <c r="BB7" s="1373">
        <f t="shared" si="14"/>
        <v>179353001.47847897</v>
      </c>
      <c r="BC7" s="1373">
        <f t="shared" si="14"/>
        <v>179493738.4169617</v>
      </c>
      <c r="BD7" s="1373">
        <f t="shared" si="14"/>
        <v>179634585.79065153</v>
      </c>
      <c r="BE7" s="1373">
        <f t="shared" si="14"/>
        <v>179775543.68620604</v>
      </c>
      <c r="BF7" s="1373">
        <f t="shared" si="14"/>
        <v>179916612.19035089</v>
      </c>
      <c r="BG7" s="1373">
        <f t="shared" si="14"/>
        <v>180057791.38987991</v>
      </c>
      <c r="BH7" s="1373">
        <f t="shared" si="14"/>
        <v>180199081.37165487</v>
      </c>
      <c r="BI7" s="1373">
        <f t="shared" si="14"/>
        <v>180340482.22260574</v>
      </c>
      <c r="BJ7" s="1373">
        <f t="shared" ref="BJ7:BK7" si="15">AN8*315</f>
        <v>180481994.02973074</v>
      </c>
      <c r="BK7" s="1373">
        <f t="shared" si="15"/>
        <v>180623616.88009629</v>
      </c>
    </row>
    <row r="8" spans="1:64" ht="15" x14ac:dyDescent="0.25">
      <c r="A8" s="1373"/>
      <c r="B8" s="964" t="s">
        <v>827</v>
      </c>
      <c r="C8" s="1375">
        <f>VMT.VHT.ADT.Change!C9</f>
        <v>2256876.4705882352</v>
      </c>
      <c r="D8" s="1375">
        <f>VMT.VHT.ADT.Change!D9</f>
        <v>102368.69792265794</v>
      </c>
      <c r="E8" s="1375">
        <f>VMT.VHT.ADT.Change!F9</f>
        <v>146409.80392156861</v>
      </c>
      <c r="F8" s="1379">
        <f>VMT.VHT.ADT.Change!G9</f>
        <v>6838.6351296296298</v>
      </c>
      <c r="G8" s="1375"/>
      <c r="H8" s="864"/>
      <c r="I8" s="864"/>
      <c r="J8" s="864"/>
      <c r="K8" s="1375"/>
      <c r="L8" s="1376">
        <v>0.28027432197507191</v>
      </c>
      <c r="M8" s="1376">
        <v>0.25367337328131756</v>
      </c>
      <c r="N8" s="1376">
        <v>0.26697384762819476</v>
      </c>
      <c r="P8" s="1380" t="s">
        <v>562</v>
      </c>
      <c r="Q8" s="1373">
        <f>I6*L8</f>
        <v>564483.04496078962</v>
      </c>
      <c r="R8" s="1373">
        <f>J6*M8</f>
        <v>572509.46737335192</v>
      </c>
      <c r="S8" s="879">
        <f t="shared" si="7"/>
        <v>7.8469240727829792E-4</v>
      </c>
      <c r="T8" s="1378"/>
      <c r="U8" s="1373">
        <f t="shared" ref="U8:AM8" si="16">$Q$8*(1+$S$8)^(U5-$Q$5)</f>
        <v>564483.04496078962</v>
      </c>
      <c r="V8" s="1373">
        <f t="shared" si="16"/>
        <v>564925.99052020768</v>
      </c>
      <c r="W8" s="1373">
        <f t="shared" si="16"/>
        <v>565369.28365564311</v>
      </c>
      <c r="X8" s="1373">
        <f t="shared" si="16"/>
        <v>565812.92463983607</v>
      </c>
      <c r="Y8" s="1373">
        <f t="shared" si="16"/>
        <v>566256.91374574089</v>
      </c>
      <c r="Z8" s="1373">
        <f t="shared" si="16"/>
        <v>566701.25124652602</v>
      </c>
      <c r="AA8" s="1373">
        <f t="shared" si="16"/>
        <v>567145.93741557433</v>
      </c>
      <c r="AB8" s="1373">
        <f t="shared" si="16"/>
        <v>567590.972526483</v>
      </c>
      <c r="AC8" s="1373">
        <f t="shared" si="16"/>
        <v>568036.35685306427</v>
      </c>
      <c r="AD8" s="1373">
        <f t="shared" si="16"/>
        <v>568482.09066934488</v>
      </c>
      <c r="AE8" s="1373">
        <f t="shared" si="16"/>
        <v>568928.17424956698</v>
      </c>
      <c r="AF8" s="1373">
        <f t="shared" si="16"/>
        <v>569374.60786818725</v>
      </c>
      <c r="AG8" s="1373">
        <f t="shared" si="16"/>
        <v>569821.39179987845</v>
      </c>
      <c r="AH8" s="1373">
        <f t="shared" si="16"/>
        <v>570268.5263195287</v>
      </c>
      <c r="AI8" s="1373">
        <f t="shared" si="16"/>
        <v>570716.01170224138</v>
      </c>
      <c r="AJ8" s="1373">
        <f t="shared" si="16"/>
        <v>571163.84822333616</v>
      </c>
      <c r="AK8" s="1373">
        <f t="shared" si="16"/>
        <v>571612.0361583489</v>
      </c>
      <c r="AL8" s="1373">
        <f t="shared" si="16"/>
        <v>572060.57578303129</v>
      </c>
      <c r="AM8" s="1373">
        <f t="shared" si="16"/>
        <v>572509.46737335157</v>
      </c>
      <c r="AN8" s="1373">
        <f t="shared" ref="AN8:AO8" si="17">$Q$8*(1+$S$8)^(AN5-$Q$5)</f>
        <v>572958.71120549436</v>
      </c>
      <c r="AO8" s="1373">
        <f t="shared" si="17"/>
        <v>573408.30755586119</v>
      </c>
      <c r="AQ8" s="1373">
        <f t="shared" ref="AQ8:BI8" si="18">U10*265</f>
        <v>108020089.30769104</v>
      </c>
      <c r="AR8" s="1373">
        <f t="shared" si="18"/>
        <v>108917038.63514632</v>
      </c>
      <c r="AS8" s="1373">
        <f t="shared" si="18"/>
        <v>109821435.81883998</v>
      </c>
      <c r="AT8" s="1373">
        <f t="shared" si="18"/>
        <v>110733342.70235769</v>
      </c>
      <c r="AU8" s="1373">
        <f t="shared" si="18"/>
        <v>111652821.6428059</v>
      </c>
      <c r="AV8" s="1373">
        <f t="shared" si="18"/>
        <v>112579935.51507585</v>
      </c>
      <c r="AW8" s="1373">
        <f t="shared" si="18"/>
        <v>113514747.7161431</v>
      </c>
      <c r="AX8" s="1373">
        <f t="shared" si="18"/>
        <v>114457322.1694027</v>
      </c>
      <c r="AY8" s="1373">
        <f t="shared" si="18"/>
        <v>115407723.32904024</v>
      </c>
      <c r="AZ8" s="1373">
        <f t="shared" si="18"/>
        <v>116366016.18443927</v>
      </c>
      <c r="BA8" s="1373">
        <f t="shared" si="18"/>
        <v>117332266.26462553</v>
      </c>
      <c r="BB8" s="1373">
        <f t="shared" si="18"/>
        <v>118306539.64274769</v>
      </c>
      <c r="BC8" s="1373">
        <f t="shared" si="18"/>
        <v>119288902.94059554</v>
      </c>
      <c r="BD8" s="1373">
        <f t="shared" si="18"/>
        <v>120279423.33315578</v>
      </c>
      <c r="BE8" s="1373">
        <f t="shared" si="18"/>
        <v>121278168.55320533</v>
      </c>
      <c r="BF8" s="1373">
        <f t="shared" si="18"/>
        <v>122285206.89594311</v>
      </c>
      <c r="BG8" s="1373">
        <f t="shared" si="18"/>
        <v>123300607.22366008</v>
      </c>
      <c r="BH8" s="1373">
        <f t="shared" si="18"/>
        <v>124324438.97044809</v>
      </c>
      <c r="BI8" s="1373">
        <f t="shared" si="18"/>
        <v>125356772.14694786</v>
      </c>
      <c r="BJ8" s="1373">
        <f t="shared" ref="BJ8:BK8" si="19">AN10*265</f>
        <v>126397677.34513642</v>
      </c>
      <c r="BK8" s="1373">
        <f t="shared" si="19"/>
        <v>127447225.74315426</v>
      </c>
    </row>
    <row r="9" spans="1:64" ht="15" x14ac:dyDescent="0.25">
      <c r="A9" s="1373"/>
      <c r="B9" s="964"/>
      <c r="C9" s="1375"/>
      <c r="D9" s="1375"/>
      <c r="E9" s="1375"/>
      <c r="F9" s="1379"/>
      <c r="G9" s="1375"/>
      <c r="H9" s="864"/>
      <c r="I9" s="864"/>
      <c r="J9" s="864"/>
      <c r="K9" s="1375"/>
      <c r="L9" s="1376">
        <v>0.28040333719902366</v>
      </c>
      <c r="M9" s="1376">
        <v>0.2536941951500849</v>
      </c>
      <c r="N9" s="1376">
        <v>0.26704876617455431</v>
      </c>
      <c r="P9" s="1380" t="s">
        <v>566</v>
      </c>
      <c r="Q9" s="1373">
        <f>I7*L9</f>
        <v>14549.911547652413</v>
      </c>
      <c r="R9" s="1373">
        <f>J7*M9</f>
        <v>25970.344428050874</v>
      </c>
      <c r="S9" s="879">
        <f t="shared" si="7"/>
        <v>3.2710855065573696E-2</v>
      </c>
      <c r="T9" s="1378"/>
      <c r="U9" s="1373">
        <f t="shared" ref="U9:AM9" si="20">$Q$9*(1+$S$9)^(U5-$Q$5)</f>
        <v>14549.911547652413</v>
      </c>
      <c r="V9" s="1373">
        <f t="shared" si="20"/>
        <v>15025.851595504588</v>
      </c>
      <c r="W9" s="1373">
        <f t="shared" si="20"/>
        <v>15517.360049281959</v>
      </c>
      <c r="X9" s="1373">
        <f t="shared" si="20"/>
        <v>16024.946164854346</v>
      </c>
      <c r="Y9" s="1373">
        <f t="shared" si="20"/>
        <v>16549.135856286517</v>
      </c>
      <c r="Z9" s="1373">
        <f t="shared" si="20"/>
        <v>17090.472240741994</v>
      </c>
      <c r="AA9" s="1373">
        <f t="shared" si="20"/>
        <v>17649.516201211118</v>
      </c>
      <c r="AB9" s="1373">
        <f t="shared" si="20"/>
        <v>18226.84696764643</v>
      </c>
      <c r="AC9" s="1373">
        <f t="shared" si="20"/>
        <v>18823.062717107503</v>
      </c>
      <c r="AD9" s="1373">
        <f t="shared" si="20"/>
        <v>19438.781193537012</v>
      </c>
      <c r="AE9" s="1373">
        <f t="shared" si="20"/>
        <v>20074.6403478102</v>
      </c>
      <c r="AF9" s="1373">
        <f t="shared" si="20"/>
        <v>20731.298998720937</v>
      </c>
      <c r="AG9" s="1373">
        <f t="shared" si="20"/>
        <v>21409.437515589172</v>
      </c>
      <c r="AH9" s="1373">
        <f t="shared" si="20"/>
        <v>22109.758523197066</v>
      </c>
      <c r="AI9" s="1373">
        <f t="shared" si="20"/>
        <v>22832.987629784202</v>
      </c>
      <c r="AJ9" s="1373">
        <f t="shared" si="20"/>
        <v>23579.874178856109</v>
      </c>
      <c r="AK9" s="1373">
        <f t="shared" si="20"/>
        <v>24351.192025585133</v>
      </c>
      <c r="AL9" s="1373">
        <f t="shared" si="20"/>
        <v>25147.740338608</v>
      </c>
      <c r="AM9" s="1373">
        <f t="shared" si="20"/>
        <v>25970.344428050888</v>
      </c>
      <c r="AN9" s="1373">
        <f t="shared" ref="AN9:AO9" si="21">$Q$9*(1+$S$9)^(AN5-$Q$5)</f>
        <v>26819.856600639898</v>
      </c>
      <c r="AO9" s="1373">
        <f t="shared" si="21"/>
        <v>27697.157042782896</v>
      </c>
      <c r="AQ9" s="1373">
        <f t="shared" ref="AQ9:BI9" si="22">U12*365</f>
        <v>47512403.086307317</v>
      </c>
      <c r="AR9" s="1373">
        <f t="shared" si="22"/>
        <v>47823729.657975234</v>
      </c>
      <c r="AS9" s="1373">
        <f t="shared" si="22"/>
        <v>48137096.207163334</v>
      </c>
      <c r="AT9" s="1373">
        <f t="shared" si="22"/>
        <v>48452516.100890905</v>
      </c>
      <c r="AU9" s="1373">
        <f t="shared" si="22"/>
        <v>48770002.793765053</v>
      </c>
      <c r="AV9" s="1373">
        <f t="shared" si="22"/>
        <v>49089569.8285546</v>
      </c>
      <c r="AW9" s="1373">
        <f t="shared" si="22"/>
        <v>49411230.836767867</v>
      </c>
      <c r="AX9" s="1373">
        <f t="shared" si="22"/>
        <v>49734999.539234027</v>
      </c>
      <c r="AY9" s="1373">
        <f t="shared" si="22"/>
        <v>50060889.746688448</v>
      </c>
      <c r="AZ9" s="1373">
        <f t="shared" si="22"/>
        <v>50388915.360361814</v>
      </c>
      <c r="BA9" s="1373">
        <f t="shared" si="22"/>
        <v>50719090.37257304</v>
      </c>
      <c r="BB9" s="1373">
        <f t="shared" si="22"/>
        <v>51051428.867326185</v>
      </c>
      <c r="BC9" s="1373">
        <f t="shared" si="22"/>
        <v>51385945.020911202</v>
      </c>
      <c r="BD9" s="1373">
        <f t="shared" si="22"/>
        <v>51722653.102508679</v>
      </c>
      <c r="BE9" s="1373">
        <f t="shared" si="22"/>
        <v>52061567.474798411</v>
      </c>
      <c r="BF9" s="1373">
        <f t="shared" si="22"/>
        <v>52402702.594572172</v>
      </c>
      <c r="BG9" s="1373">
        <f t="shared" si="22"/>
        <v>52746073.013350315</v>
      </c>
      <c r="BH9" s="1373">
        <f t="shared" si="22"/>
        <v>53091693.378002509</v>
      </c>
      <c r="BI9" s="1373">
        <f t="shared" si="22"/>
        <v>53439578.431372523</v>
      </c>
      <c r="BJ9" s="1373">
        <f t="shared" ref="BJ9:BK9" si="23">AN12*365</f>
        <v>53789743.012907073</v>
      </c>
      <c r="BK9" s="1373">
        <f t="shared" si="23"/>
        <v>54142202.059288852</v>
      </c>
    </row>
    <row r="10" spans="1:64" ht="15" x14ac:dyDescent="0.25">
      <c r="A10" s="1373"/>
      <c r="B10" s="964"/>
      <c r="C10" s="1375"/>
      <c r="D10" s="1375"/>
      <c r="E10" s="1375"/>
      <c r="F10" s="1379"/>
      <c r="G10" s="1375"/>
      <c r="H10" s="864"/>
      <c r="I10" s="864"/>
      <c r="J10" s="864"/>
      <c r="K10" s="1375"/>
      <c r="L10" s="1376">
        <v>0.20239093972073668</v>
      </c>
      <c r="M10" s="1376">
        <v>0.20960138020878638</v>
      </c>
      <c r="N10" s="1376">
        <v>0.20599615996476153</v>
      </c>
      <c r="P10" s="1377" t="s">
        <v>563</v>
      </c>
      <c r="Q10" s="1373">
        <f>I6*L10</f>
        <v>407622.97851958883</v>
      </c>
      <c r="R10" s="1373">
        <f>J6*M10</f>
        <v>473044.42319602857</v>
      </c>
      <c r="S10" s="879">
        <f t="shared" si="7"/>
        <v>8.3035418060093402E-3</v>
      </c>
      <c r="T10" s="1378"/>
      <c r="U10" s="1373">
        <f t="shared" ref="U10:AM10" si="24">$Q$10*(1+$S$10)^(U5-$Q$5)</f>
        <v>407622.97851958883</v>
      </c>
      <c r="V10" s="1373">
        <f t="shared" si="24"/>
        <v>411007.69296281628</v>
      </c>
      <c r="W10" s="1373">
        <f t="shared" si="24"/>
        <v>414420.51252392447</v>
      </c>
      <c r="X10" s="1373">
        <f t="shared" si="24"/>
        <v>417861.67057493469</v>
      </c>
      <c r="Y10" s="1373">
        <f t="shared" si="24"/>
        <v>421331.40242568264</v>
      </c>
      <c r="Z10" s="1373">
        <f t="shared" si="24"/>
        <v>424829.94533990888</v>
      </c>
      <c r="AA10" s="1373">
        <f t="shared" si="24"/>
        <v>428357.53855148342</v>
      </c>
      <c r="AB10" s="1373">
        <f t="shared" si="24"/>
        <v>431914.4232807649</v>
      </c>
      <c r="AC10" s="1373">
        <f t="shared" si="24"/>
        <v>435500.84275109525</v>
      </c>
      <c r="AD10" s="1373">
        <f t="shared" si="24"/>
        <v>439117.04220543121</v>
      </c>
      <c r="AE10" s="1373">
        <f t="shared" si="24"/>
        <v>442763.26892311522</v>
      </c>
      <c r="AF10" s="1373">
        <f t="shared" si="24"/>
        <v>446439.7722367837</v>
      </c>
      <c r="AG10" s="1373">
        <f t="shared" si="24"/>
        <v>450146.80354941712</v>
      </c>
      <c r="AH10" s="1373">
        <f t="shared" si="24"/>
        <v>453884.61635153124</v>
      </c>
      <c r="AI10" s="1373">
        <f t="shared" si="24"/>
        <v>457653.46623851068</v>
      </c>
      <c r="AJ10" s="1373">
        <f t="shared" si="24"/>
        <v>461453.6109280872</v>
      </c>
      <c r="AK10" s="1373">
        <f t="shared" si="24"/>
        <v>465285.31027796259</v>
      </c>
      <c r="AL10" s="1373">
        <f t="shared" si="24"/>
        <v>469148.82630357769</v>
      </c>
      <c r="AM10" s="1373">
        <f t="shared" si="24"/>
        <v>473044.42319602967</v>
      </c>
      <c r="AN10" s="1373">
        <f t="shared" ref="AN10:AO10" si="25">$Q$10*(1+$S$10)^(AN5-$Q$5)</f>
        <v>476972.36734013743</v>
      </c>
      <c r="AO10" s="1373">
        <f t="shared" si="25"/>
        <v>480932.92733265756</v>
      </c>
    </row>
    <row r="11" spans="1:64" ht="15" x14ac:dyDescent="0.25">
      <c r="A11" s="1373"/>
      <c r="B11" s="964"/>
      <c r="C11" s="1375"/>
      <c r="D11" s="1375"/>
      <c r="E11" s="1375"/>
      <c r="F11" s="1379"/>
      <c r="G11" s="1375"/>
      <c r="H11" s="864"/>
      <c r="I11" s="864"/>
      <c r="J11" s="864"/>
      <c r="K11" s="1375"/>
      <c r="L11" s="1376">
        <v>0.20235856188117546</v>
      </c>
      <c r="M11" s="1376">
        <v>0.20960172359825377</v>
      </c>
      <c r="N11" s="1376">
        <v>0.2059801427397146</v>
      </c>
      <c r="P11" s="1377" t="s">
        <v>567</v>
      </c>
      <c r="Q11" s="1373">
        <f>I7*L11</f>
        <v>10500.228726562751</v>
      </c>
      <c r="R11" s="1373">
        <f>J7*M11</f>
        <v>21456.655527098086</v>
      </c>
      <c r="S11" s="879">
        <f t="shared" si="7"/>
        <v>4.05007650275655E-2</v>
      </c>
      <c r="T11" s="1378"/>
      <c r="U11" s="1373">
        <f t="shared" ref="U11:AM11" si="26">$Q$11*(1+$S$11)^(U5-$Q$5)</f>
        <v>10500.228726562751</v>
      </c>
      <c r="V11" s="1373">
        <f t="shared" si="26"/>
        <v>10925.496022952962</v>
      </c>
      <c r="W11" s="1373">
        <f t="shared" si="26"/>
        <v>11367.986970188182</v>
      </c>
      <c r="X11" s="1373">
        <f t="shared" si="26"/>
        <v>11828.3991393042</v>
      </c>
      <c r="Y11" s="1373">
        <f t="shared" si="26"/>
        <v>12307.458353497417</v>
      </c>
      <c r="Z11" s="1373">
        <f t="shared" si="26"/>
        <v>12805.919832358966</v>
      </c>
      <c r="AA11" s="1373">
        <f t="shared" si="26"/>
        <v>13324.569382451178</v>
      </c>
      <c r="AB11" s="1373">
        <f t="shared" si="26"/>
        <v>13864.224636103325</v>
      </c>
      <c r="AC11" s="1373">
        <f t="shared" si="26"/>
        <v>14425.736340379533</v>
      </c>
      <c r="AD11" s="1373">
        <f t="shared" si="26"/>
        <v>15009.989698250856</v>
      </c>
      <c r="AE11" s="1373">
        <f t="shared" si="26"/>
        <v>15617.905764085894</v>
      </c>
      <c r="AF11" s="1373">
        <f t="shared" si="26"/>
        <v>16250.442895659797</v>
      </c>
      <c r="AG11" s="1373">
        <f t="shared" si="26"/>
        <v>16908.598264970788</v>
      </c>
      <c r="AH11" s="1373">
        <f t="shared" si="26"/>
        <v>17593.409430245872</v>
      </c>
      <c r="AI11" s="1373">
        <f t="shared" si="26"/>
        <v>18305.955971614014</v>
      </c>
      <c r="AJ11" s="1373">
        <f t="shared" si="26"/>
        <v>19047.36119302531</v>
      </c>
      <c r="AK11" s="1373">
        <f t="shared" si="26"/>
        <v>19818.793893099202</v>
      </c>
      <c r="AL11" s="1373">
        <f t="shared" si="26"/>
        <v>20621.470207693365</v>
      </c>
      <c r="AM11" s="1373">
        <f t="shared" si="26"/>
        <v>21456.655527098097</v>
      </c>
      <c r="AN11" s="1373">
        <f t="shared" ref="AN11:AO11" si="27">$Q$11*(1+$S$11)^(AN5-$Q$5)</f>
        <v>22325.66649087851</v>
      </c>
      <c r="AO11" s="1373">
        <f t="shared" si="27"/>
        <v>23229.873063509378</v>
      </c>
    </row>
    <row r="12" spans="1:64" ht="15" x14ac:dyDescent="0.25">
      <c r="A12" s="1373"/>
      <c r="B12" s="1381"/>
      <c r="C12" s="1375"/>
      <c r="D12" s="1375"/>
      <c r="E12" s="1375"/>
      <c r="F12" s="1379"/>
      <c r="G12" s="1375"/>
      <c r="H12" s="1382" t="s">
        <v>564</v>
      </c>
      <c r="I12" s="864">
        <f>E7</f>
        <v>130170.96735974608</v>
      </c>
      <c r="J12" s="864">
        <f>E8</f>
        <v>146409.80392156861</v>
      </c>
      <c r="K12" s="1375"/>
      <c r="P12" s="1380" t="s">
        <v>564</v>
      </c>
      <c r="Q12" s="1373">
        <f>I12</f>
        <v>130170.96735974608</v>
      </c>
      <c r="R12" s="1373">
        <f>J12</f>
        <v>146409.80392156861</v>
      </c>
      <c r="S12" s="879">
        <f t="shared" si="7"/>
        <v>6.5525326324240574E-3</v>
      </c>
      <c r="T12" s="1378"/>
      <c r="U12" s="1373">
        <f t="shared" ref="U12:AM12" si="28">$Q$12*(1+$S$12)^(U5-$Q$5)</f>
        <v>130170.96735974608</v>
      </c>
      <c r="V12" s="1373">
        <f t="shared" si="28"/>
        <v>131023.91687116503</v>
      </c>
      <c r="W12" s="1373">
        <f t="shared" si="28"/>
        <v>131882.45536209134</v>
      </c>
      <c r="X12" s="1373">
        <f t="shared" si="28"/>
        <v>132746.61945449564</v>
      </c>
      <c r="Y12" s="1373">
        <f t="shared" si="28"/>
        <v>133616.44601031521</v>
      </c>
      <c r="Z12" s="1373">
        <f t="shared" si="28"/>
        <v>134491.97213302631</v>
      </c>
      <c r="AA12" s="1373">
        <f t="shared" si="28"/>
        <v>135373.23516922703</v>
      </c>
      <c r="AB12" s="1373">
        <f t="shared" si="28"/>
        <v>136260.2727102302</v>
      </c>
      <c r="AC12" s="1373">
        <f t="shared" si="28"/>
        <v>137153.12259366698</v>
      </c>
      <c r="AD12" s="1373">
        <f t="shared" si="28"/>
        <v>138051.82290510085</v>
      </c>
      <c r="AE12" s="1373">
        <f t="shared" si="28"/>
        <v>138956.41197965216</v>
      </c>
      <c r="AF12" s="1373">
        <f t="shared" si="28"/>
        <v>139866.92840363338</v>
      </c>
      <c r="AG12" s="1373">
        <f t="shared" si="28"/>
        <v>140783.41101619508</v>
      </c>
      <c r="AH12" s="1373">
        <f t="shared" si="28"/>
        <v>141705.89891098268</v>
      </c>
      <c r="AI12" s="1373">
        <f t="shared" si="28"/>
        <v>142634.43143780387</v>
      </c>
      <c r="AJ12" s="1373">
        <f t="shared" si="28"/>
        <v>143569.04820430733</v>
      </c>
      <c r="AK12" s="1373">
        <f t="shared" si="28"/>
        <v>144509.78907767209</v>
      </c>
      <c r="AL12" s="1373">
        <f t="shared" si="28"/>
        <v>145456.69418630825</v>
      </c>
      <c r="AM12" s="1373">
        <f t="shared" si="28"/>
        <v>146409.80392156856</v>
      </c>
      <c r="AN12" s="1373">
        <f t="shared" ref="AN12:AO12" si="29">$Q$12*(1+$S$12)^(AN5-$Q$5)</f>
        <v>147369.15893947144</v>
      </c>
      <c r="AO12" s="1373">
        <f t="shared" si="29"/>
        <v>148334.80016243522</v>
      </c>
      <c r="AQ12" s="1370">
        <f>2023</f>
        <v>2023</v>
      </c>
      <c r="AR12" s="1370">
        <f>AQ12+1</f>
        <v>2024</v>
      </c>
      <c r="AS12" s="1370">
        <f t="shared" ref="AS12:BI12" si="30">AR12+1</f>
        <v>2025</v>
      </c>
      <c r="AT12" s="1370">
        <f t="shared" si="30"/>
        <v>2026</v>
      </c>
      <c r="AU12" s="1370">
        <f t="shared" si="30"/>
        <v>2027</v>
      </c>
      <c r="AV12" s="1370">
        <f t="shared" si="30"/>
        <v>2028</v>
      </c>
      <c r="AW12" s="1370">
        <f t="shared" si="30"/>
        <v>2029</v>
      </c>
      <c r="AX12" s="1370">
        <f t="shared" si="30"/>
        <v>2030</v>
      </c>
      <c r="AY12" s="1370">
        <f t="shared" si="30"/>
        <v>2031</v>
      </c>
      <c r="AZ12" s="1370">
        <f t="shared" si="30"/>
        <v>2032</v>
      </c>
      <c r="BA12" s="1370">
        <f t="shared" si="30"/>
        <v>2033</v>
      </c>
      <c r="BB12" s="1370">
        <f t="shared" si="30"/>
        <v>2034</v>
      </c>
      <c r="BC12" s="1370">
        <f t="shared" si="30"/>
        <v>2035</v>
      </c>
      <c r="BD12" s="1370">
        <f t="shared" si="30"/>
        <v>2036</v>
      </c>
      <c r="BE12" s="1370">
        <f t="shared" si="30"/>
        <v>2037</v>
      </c>
      <c r="BF12" s="1370">
        <f t="shared" si="30"/>
        <v>2038</v>
      </c>
      <c r="BG12" s="1370">
        <f t="shared" si="30"/>
        <v>2039</v>
      </c>
      <c r="BH12" s="1370">
        <f t="shared" si="30"/>
        <v>2040</v>
      </c>
      <c r="BI12" s="1370">
        <f t="shared" si="30"/>
        <v>2041</v>
      </c>
      <c r="BJ12" s="1370">
        <f t="shared" ref="BJ12" si="31">BI12+1</f>
        <v>2042</v>
      </c>
      <c r="BK12" s="1370">
        <f t="shared" ref="BK12" si="32">BJ12+1</f>
        <v>2043</v>
      </c>
    </row>
    <row r="13" spans="1:64" ht="15" x14ac:dyDescent="0.25">
      <c r="A13" s="1373"/>
      <c r="B13" s="964" t="s">
        <v>828</v>
      </c>
      <c r="C13" s="1375">
        <f>VMT.VHT.ADT.Change!C14</f>
        <v>2329807.8431372549</v>
      </c>
      <c r="D13" s="1375">
        <f>VMT.VHT.ADT.Change!D14</f>
        <v>51986.688284313728</v>
      </c>
      <c r="E13" s="1375">
        <f>VMT.VHT.ADT.Change!F14</f>
        <v>118676.47058823529</v>
      </c>
      <c r="F13" s="1379">
        <f>VMT.VHT.ADT.Change!G14</f>
        <v>2639.4345588235296</v>
      </c>
      <c r="G13" s="1375"/>
      <c r="H13" s="1382" t="s">
        <v>568</v>
      </c>
      <c r="I13" s="864">
        <f>F7</f>
        <v>3369.185654616922</v>
      </c>
      <c r="J13" s="864">
        <f>F8</f>
        <v>6838.6351296296298</v>
      </c>
      <c r="K13" s="1375"/>
      <c r="P13" s="1380" t="s">
        <v>568</v>
      </c>
      <c r="Q13" s="1373">
        <f>I13</f>
        <v>3369.185654616922</v>
      </c>
      <c r="R13" s="1373">
        <f>J13</f>
        <v>6838.6351296296298</v>
      </c>
      <c r="S13" s="879">
        <f t="shared" si="7"/>
        <v>4.0112341254797457E-2</v>
      </c>
      <c r="T13" s="1378"/>
      <c r="U13" s="1373">
        <f t="shared" ref="U13:AM13" si="33">$Q$13*(1+$S$13)^(U5-$Q$5)</f>
        <v>3369.185654616922</v>
      </c>
      <c r="V13" s="1373">
        <f t="shared" si="33"/>
        <v>3504.3315793456841</v>
      </c>
      <c r="W13" s="1373">
        <f t="shared" si="33"/>
        <v>3644.8985235263617</v>
      </c>
      <c r="X13" s="1373">
        <f t="shared" si="33"/>
        <v>3791.1039369411587</v>
      </c>
      <c r="Y13" s="1373">
        <f t="shared" si="33"/>
        <v>3943.1739917921491</v>
      </c>
      <c r="Z13" s="1373">
        <f t="shared" si="33"/>
        <v>4101.3439325779573</v>
      </c>
      <c r="AA13" s="1373">
        <f t="shared" si="33"/>
        <v>4265.8584400048185</v>
      </c>
      <c r="AB13" s="1373">
        <f t="shared" si="33"/>
        <v>4436.9720094949489</v>
      </c>
      <c r="AC13" s="1373">
        <f t="shared" si="33"/>
        <v>4614.9493448777957</v>
      </c>
      <c r="AD13" s="1373">
        <f t="shared" si="33"/>
        <v>4800.0657678731386</v>
      </c>
      <c r="AE13" s="1373">
        <f t="shared" si="33"/>
        <v>4992.6076439995377</v>
      </c>
      <c r="AF13" s="1373">
        <f t="shared" si="33"/>
        <v>5192.8728255669566</v>
      </c>
      <c r="AG13" s="1373">
        <f t="shared" si="33"/>
        <v>5401.1711124388639</v>
      </c>
      <c r="AH13" s="1373">
        <f t="shared" si="33"/>
        <v>5617.8247312765652</v>
      </c>
      <c r="AI13" s="1373">
        <f t="shared" si="33"/>
        <v>5843.1688340071732</v>
      </c>
      <c r="AJ13" s="1373">
        <f t="shared" si="33"/>
        <v>6077.5520162862649</v>
      </c>
      <c r="AK13" s="1373">
        <f t="shared" si="33"/>
        <v>6321.3368567573234</v>
      </c>
      <c r="AL13" s="1373">
        <f t="shared" si="33"/>
        <v>6574.900477942102</v>
      </c>
      <c r="AM13" s="1373">
        <f t="shared" si="33"/>
        <v>6838.6351296296461</v>
      </c>
      <c r="AN13" s="1373">
        <f t="shared" ref="AN13:AO13" si="34">$Q$13*(1+$S$13)^(AN5-$Q$5)</f>
        <v>7112.948795666397</v>
      </c>
      <c r="AO13" s="1373">
        <f t="shared" si="34"/>
        <v>7398.2658250860704</v>
      </c>
      <c r="AQ13" s="1373">
        <f t="shared" ref="AQ13:BI13" si="35">U16*315</f>
        <v>375037177.63611716</v>
      </c>
      <c r="AR13" s="1373">
        <f t="shared" si="35"/>
        <v>379030584.88197547</v>
      </c>
      <c r="AS13" s="1373">
        <f t="shared" si="35"/>
        <v>383066514.04934514</v>
      </c>
      <c r="AT13" s="1373">
        <f t="shared" si="35"/>
        <v>387145417.91293657</v>
      </c>
      <c r="AU13" s="1373">
        <f t="shared" si="35"/>
        <v>391267754.06861871</v>
      </c>
      <c r="AV13" s="1373">
        <f t="shared" si="35"/>
        <v>395433984.98475569</v>
      </c>
      <c r="AW13" s="1373">
        <f t="shared" si="35"/>
        <v>399644578.05408847</v>
      </c>
      <c r="AX13" s="1373">
        <f t="shared" si="35"/>
        <v>403900005.64617032</v>
      </c>
      <c r="AY13" s="1373">
        <f t="shared" si="35"/>
        <v>408200745.16035944</v>
      </c>
      <c r="AZ13" s="1373">
        <f t="shared" si="35"/>
        <v>412547279.07937741</v>
      </c>
      <c r="BA13" s="1373">
        <f t="shared" si="35"/>
        <v>416940095.02343607</v>
      </c>
      <c r="BB13" s="1373">
        <f t="shared" si="35"/>
        <v>421379685.80494255</v>
      </c>
      <c r="BC13" s="1373">
        <f t="shared" si="35"/>
        <v>425866549.48378462</v>
      </c>
      <c r="BD13" s="1373">
        <f t="shared" si="35"/>
        <v>430401189.42320776</v>
      </c>
      <c r="BE13" s="1373">
        <f t="shared" si="35"/>
        <v>434984114.34628379</v>
      </c>
      <c r="BF13" s="1373">
        <f t="shared" si="35"/>
        <v>439615838.39298397</v>
      </c>
      <c r="BG13" s="1373">
        <f t="shared" si="35"/>
        <v>444296881.17785674</v>
      </c>
      <c r="BH13" s="1373">
        <f t="shared" si="35"/>
        <v>449027767.84832275</v>
      </c>
      <c r="BI13" s="1373">
        <f t="shared" si="35"/>
        <v>453809029.14358813</v>
      </c>
      <c r="BJ13" s="1373">
        <f t="shared" ref="BJ13:BK13" si="36">AN16*315</f>
        <v>458641201.45418578</v>
      </c>
      <c r="BK13" s="1373">
        <f t="shared" si="36"/>
        <v>463524826.88215166</v>
      </c>
    </row>
    <row r="14" spans="1:64" ht="21" x14ac:dyDescent="0.35">
      <c r="B14" s="964" t="s">
        <v>829</v>
      </c>
      <c r="C14" s="1375">
        <f>VMT.VHT.ADT.Change!C15</f>
        <v>2706879.7102546045</v>
      </c>
      <c r="D14" s="1375">
        <f>VMT.VHT.ADT.Change!D15</f>
        <v>76398.265087611275</v>
      </c>
      <c r="E14" s="1375">
        <f>VMT.VHT.ADT.Change!F15</f>
        <v>177049.79785145575</v>
      </c>
      <c r="F14" s="1379">
        <f>VMT.VHT.ADT.Change!G15</f>
        <v>4746.6273938236054</v>
      </c>
      <c r="G14" s="1375"/>
      <c r="H14" s="865" t="s">
        <v>844</v>
      </c>
      <c r="I14" s="1368"/>
      <c r="J14" s="1368"/>
      <c r="K14" s="1375"/>
      <c r="L14" s="1375"/>
      <c r="M14" s="1375"/>
      <c r="P14" s="861" t="s">
        <v>844</v>
      </c>
      <c r="T14" s="1383"/>
      <c r="U14" s="1373">
        <f>U6+U8+U10+U12</f>
        <v>2144208.6465267856</v>
      </c>
      <c r="V14" s="1373">
        <f t="shared" ref="V14:AL14" si="37">V6+V8+V10+V12</f>
        <v>2157645.4487789292</v>
      </c>
      <c r="W14" s="1373">
        <f t="shared" si="37"/>
        <v>2171189.8780599553</v>
      </c>
      <c r="X14" s="1373">
        <f t="shared" si="37"/>
        <v>2184842.8230337347</v>
      </c>
      <c r="Y14" s="1373">
        <f t="shared" si="37"/>
        <v>2198605.1797390254</v>
      </c>
      <c r="Z14" s="1373">
        <f t="shared" si="37"/>
        <v>2212477.8516508057</v>
      </c>
      <c r="AA14" s="1373">
        <f t="shared" si="37"/>
        <v>2226461.7497421247</v>
      </c>
      <c r="AB14" s="1373">
        <f t="shared" si="37"/>
        <v>2240557.7925464655</v>
      </c>
      <c r="AC14" s="1373">
        <f t="shared" si="37"/>
        <v>2254766.9062206256</v>
      </c>
      <c r="AD14" s="1373">
        <f t="shared" si="37"/>
        <v>2269090.0246081268</v>
      </c>
      <c r="AE14" s="1373">
        <f t="shared" si="37"/>
        <v>2283528.0893031461</v>
      </c>
      <c r="AF14" s="1373">
        <f t="shared" si="37"/>
        <v>2298082.0497149834</v>
      </c>
      <c r="AG14" s="1373">
        <f t="shared" si="37"/>
        <v>2312752.863133071</v>
      </c>
      <c r="AH14" s="1373">
        <f t="shared" si="37"/>
        <v>2327541.4947925108</v>
      </c>
      <c r="AI14" s="1373">
        <f t="shared" si="37"/>
        <v>2342448.9179401733</v>
      </c>
      <c r="AJ14" s="1373">
        <f t="shared" si="37"/>
        <v>2357476.1139013357</v>
      </c>
      <c r="AK14" s="1373">
        <f t="shared" si="37"/>
        <v>2372624.0721468832</v>
      </c>
      <c r="AL14" s="1373">
        <f t="shared" si="37"/>
        <v>2387893.7903610622</v>
      </c>
      <c r="AQ14" s="1373">
        <f t="shared" ref="AQ14:BI14" si="38">U18*315</f>
        <v>203660028.89038733</v>
      </c>
      <c r="AR14" s="1373">
        <f t="shared" si="38"/>
        <v>204251267.71475518</v>
      </c>
      <c r="AS14" s="1373">
        <f t="shared" si="38"/>
        <v>204844222.94537786</v>
      </c>
      <c r="AT14" s="1373">
        <f t="shared" si="38"/>
        <v>205438899.56509867</v>
      </c>
      <c r="AU14" s="1373">
        <f t="shared" si="38"/>
        <v>206035302.57122642</v>
      </c>
      <c r="AV14" s="1373">
        <f t="shared" si="38"/>
        <v>206633436.97557756</v>
      </c>
      <c r="AW14" s="1373">
        <f t="shared" si="38"/>
        <v>207233307.80451813</v>
      </c>
      <c r="AX14" s="1373">
        <f t="shared" si="38"/>
        <v>207834920.09900597</v>
      </c>
      <c r="AY14" s="1373">
        <f t="shared" si="38"/>
        <v>208438278.91463324</v>
      </c>
      <c r="AZ14" s="1373">
        <f t="shared" si="38"/>
        <v>209043389.32166886</v>
      </c>
      <c r="BA14" s="1373">
        <f t="shared" si="38"/>
        <v>209650256.40510103</v>
      </c>
      <c r="BB14" s="1373">
        <f t="shared" si="38"/>
        <v>210258885.26468</v>
      </c>
      <c r="BC14" s="1373">
        <f t="shared" si="38"/>
        <v>210869281.01496094</v>
      </c>
      <c r="BD14" s="1373">
        <f t="shared" si="38"/>
        <v>211481448.78534696</v>
      </c>
      <c r="BE14" s="1373">
        <f t="shared" si="38"/>
        <v>212095393.7201322</v>
      </c>
      <c r="BF14" s="1373">
        <f t="shared" si="38"/>
        <v>212711120.97854486</v>
      </c>
      <c r="BG14" s="1373">
        <f t="shared" si="38"/>
        <v>213328635.73479098</v>
      </c>
      <c r="BH14" s="1373">
        <f t="shared" si="38"/>
        <v>213947943.17809755</v>
      </c>
      <c r="BI14" s="1373">
        <f t="shared" si="38"/>
        <v>214569048.51275608</v>
      </c>
      <c r="BJ14" s="1373">
        <f t="shared" ref="BJ14:BK14" si="39">AN18*315</f>
        <v>215191956.95816684</v>
      </c>
      <c r="BK14" s="1373">
        <f t="shared" si="39"/>
        <v>215816673.748882</v>
      </c>
    </row>
    <row r="15" spans="1:64" s="253" customFormat="1" ht="22.5" customHeight="1" x14ac:dyDescent="0.25">
      <c r="B15" s="1384"/>
      <c r="C15" s="1375"/>
      <c r="D15" s="1375"/>
      <c r="E15" s="1375"/>
      <c r="F15" s="1379"/>
      <c r="G15" s="1375"/>
      <c r="H15" s="862" t="s">
        <v>0</v>
      </c>
      <c r="I15" s="1370">
        <v>2023</v>
      </c>
      <c r="J15" s="1370">
        <v>2041</v>
      </c>
      <c r="K15" s="1375"/>
      <c r="L15" s="1375"/>
      <c r="M15" s="1375"/>
      <c r="O15" s="574"/>
      <c r="P15" s="1371" t="s">
        <v>0</v>
      </c>
      <c r="Q15" s="1370">
        <v>2023</v>
      </c>
      <c r="R15" s="1370">
        <v>2041</v>
      </c>
      <c r="S15" s="1370" t="s">
        <v>211</v>
      </c>
      <c r="T15" s="1372"/>
      <c r="U15" s="1370">
        <f>2023</f>
        <v>2023</v>
      </c>
      <c r="V15" s="1370">
        <f>U15+1</f>
        <v>2024</v>
      </c>
      <c r="W15" s="1370">
        <f t="shared" ref="W15:AL15" si="40">V15+1</f>
        <v>2025</v>
      </c>
      <c r="X15" s="1370">
        <f t="shared" si="40"/>
        <v>2026</v>
      </c>
      <c r="Y15" s="1370">
        <f t="shared" si="40"/>
        <v>2027</v>
      </c>
      <c r="Z15" s="1370">
        <f t="shared" si="40"/>
        <v>2028</v>
      </c>
      <c r="AA15" s="1370">
        <f t="shared" si="40"/>
        <v>2029</v>
      </c>
      <c r="AB15" s="1370">
        <f t="shared" si="40"/>
        <v>2030</v>
      </c>
      <c r="AC15" s="1370">
        <f t="shared" si="40"/>
        <v>2031</v>
      </c>
      <c r="AD15" s="1370">
        <f t="shared" si="40"/>
        <v>2032</v>
      </c>
      <c r="AE15" s="1370">
        <f t="shared" si="40"/>
        <v>2033</v>
      </c>
      <c r="AF15" s="1370">
        <f t="shared" si="40"/>
        <v>2034</v>
      </c>
      <c r="AG15" s="1370">
        <f t="shared" si="40"/>
        <v>2035</v>
      </c>
      <c r="AH15" s="1370">
        <f t="shared" si="40"/>
        <v>2036</v>
      </c>
      <c r="AI15" s="1370">
        <f t="shared" si="40"/>
        <v>2037</v>
      </c>
      <c r="AJ15" s="1370">
        <f t="shared" si="40"/>
        <v>2038</v>
      </c>
      <c r="AK15" s="1370">
        <f t="shared" si="40"/>
        <v>2039</v>
      </c>
      <c r="AL15" s="1370">
        <f t="shared" si="40"/>
        <v>2040</v>
      </c>
      <c r="AM15" s="1370">
        <f t="shared" ref="AM15" si="41">AL15+1</f>
        <v>2041</v>
      </c>
      <c r="AN15" s="1370">
        <f t="shared" ref="AN15" si="42">AM15+1</f>
        <v>2042</v>
      </c>
      <c r="AO15" s="1370">
        <f t="shared" ref="AO15" si="43">AN15+1</f>
        <v>2043</v>
      </c>
      <c r="AQ15" s="1373">
        <f t="shared" ref="AQ15:BI15" si="44">U20*265</f>
        <v>123443581.15744081</v>
      </c>
      <c r="AR15" s="1373">
        <f t="shared" si="44"/>
        <v>124745900.92910464</v>
      </c>
      <c r="AS15" s="1373">
        <f t="shared" si="44"/>
        <v>126061960.06875962</v>
      </c>
      <c r="AT15" s="1373">
        <f t="shared" si="44"/>
        <v>127391903.52562399</v>
      </c>
      <c r="AU15" s="1373">
        <f t="shared" si="44"/>
        <v>128735877.77811846</v>
      </c>
      <c r="AV15" s="1373">
        <f t="shared" si="44"/>
        <v>130094030.84999922</v>
      </c>
      <c r="AW15" s="1373">
        <f t="shared" si="44"/>
        <v>131466512.32666117</v>
      </c>
      <c r="AX15" s="1373">
        <f t="shared" si="44"/>
        <v>132853473.37161282</v>
      </c>
      <c r="AY15" s="1373">
        <f t="shared" si="44"/>
        <v>134255066.74312556</v>
      </c>
      <c r="AZ15" s="1373">
        <f t="shared" si="44"/>
        <v>135671446.81105816</v>
      </c>
      <c r="BA15" s="1373">
        <f t="shared" si="44"/>
        <v>137102769.57385886</v>
      </c>
      <c r="BB15" s="1373">
        <f t="shared" si="44"/>
        <v>138549192.67574686</v>
      </c>
      <c r="BC15" s="1373">
        <f t="shared" si="44"/>
        <v>140010875.4240751</v>
      </c>
      <c r="BD15" s="1373">
        <f t="shared" si="44"/>
        <v>141487978.80687618</v>
      </c>
      <c r="BE15" s="1373">
        <f t="shared" si="44"/>
        <v>142980665.51059338</v>
      </c>
      <c r="BF15" s="1373">
        <f t="shared" si="44"/>
        <v>144489099.9379988</v>
      </c>
      <c r="BG15" s="1373">
        <f t="shared" si="44"/>
        <v>146013448.22630042</v>
      </c>
      <c r="BH15" s="1373">
        <f t="shared" si="44"/>
        <v>147553878.26544032</v>
      </c>
      <c r="BI15" s="1373">
        <f t="shared" si="44"/>
        <v>149110559.71658581</v>
      </c>
      <c r="BJ15" s="1373">
        <f t="shared" ref="BJ15:BK15" si="45">AN20*265</f>
        <v>150683664.03081584</v>
      </c>
      <c r="BK15" s="1373">
        <f t="shared" si="45"/>
        <v>152273364.46800417</v>
      </c>
    </row>
    <row r="16" spans="1:64" ht="15" x14ac:dyDescent="0.25">
      <c r="B16" s="964"/>
      <c r="C16" s="1375"/>
      <c r="D16" s="1375"/>
      <c r="E16" s="1375"/>
      <c r="F16" s="1379"/>
      <c r="G16" s="1385"/>
      <c r="H16" s="863" t="s">
        <v>841</v>
      </c>
      <c r="I16" s="864">
        <f>C19</f>
        <v>2302958.8235294102</v>
      </c>
      <c r="J16" s="864">
        <f>C20</f>
        <v>2684516.5245840759</v>
      </c>
      <c r="K16" s="1385"/>
      <c r="L16" s="1376">
        <v>0.51698458633019828</v>
      </c>
      <c r="M16" s="1376">
        <v>0.53665662751173693</v>
      </c>
      <c r="N16" s="1376">
        <v>0.52682060692096755</v>
      </c>
      <c r="P16" s="1377" t="s">
        <v>561</v>
      </c>
      <c r="Q16" s="1373">
        <f>I16*L16</f>
        <v>1190594.2147178322</v>
      </c>
      <c r="R16" s="1373">
        <f>J16*M16</f>
        <v>1440663.5845828189</v>
      </c>
      <c r="S16" s="879">
        <f t="shared" ref="S16:S23" si="46">(R16/Q16)^(1/($R$5-$Q$5))-1</f>
        <v>1.0648030339362791E-2</v>
      </c>
      <c r="T16" s="1378"/>
      <c r="U16" s="1373">
        <f t="shared" ref="U16:AM16" si="47">$Q$16*(1+$S$16)^(U5-$Q$5)</f>
        <v>1190594.2147178322</v>
      </c>
      <c r="V16" s="1373">
        <f t="shared" si="47"/>
        <v>1203271.6980380174</v>
      </c>
      <c r="W16" s="1373">
        <f t="shared" si="47"/>
        <v>1216084.1715852227</v>
      </c>
      <c r="X16" s="1373">
        <f t="shared" si="47"/>
        <v>1229033.0727394812</v>
      </c>
      <c r="Y16" s="1373">
        <f t="shared" si="47"/>
        <v>1242119.8541860911</v>
      </c>
      <c r="Z16" s="1373">
        <f t="shared" si="47"/>
        <v>1255345.9840785896</v>
      </c>
      <c r="AA16" s="1373">
        <f t="shared" si="47"/>
        <v>1268712.9462034556</v>
      </c>
      <c r="AB16" s="1373">
        <f t="shared" si="47"/>
        <v>1282222.2401465725</v>
      </c>
      <c r="AC16" s="1373">
        <f t="shared" si="47"/>
        <v>1295875.3814614585</v>
      </c>
      <c r="AD16" s="1373">
        <f t="shared" si="47"/>
        <v>1309673.9018392933</v>
      </c>
      <c r="AE16" s="1373">
        <f t="shared" si="47"/>
        <v>1323619.3492807494</v>
      </c>
      <c r="AF16" s="1373">
        <f t="shared" si="47"/>
        <v>1337713.2882696588</v>
      </c>
      <c r="AG16" s="1373">
        <f t="shared" si="47"/>
        <v>1351957.2999485226</v>
      </c>
      <c r="AH16" s="1373">
        <f t="shared" si="47"/>
        <v>1366352.9822958976</v>
      </c>
      <c r="AI16" s="1373">
        <f t="shared" si="47"/>
        <v>1380901.9503056628</v>
      </c>
      <c r="AJ16" s="1373">
        <f t="shared" si="47"/>
        <v>1395605.836168203</v>
      </c>
      <c r="AK16" s="1373">
        <f t="shared" si="47"/>
        <v>1410466.2894535135</v>
      </c>
      <c r="AL16" s="1373">
        <f t="shared" si="47"/>
        <v>1425484.9772962627</v>
      </c>
      <c r="AM16" s="1373">
        <f t="shared" si="47"/>
        <v>1440663.5845828194</v>
      </c>
      <c r="AN16" s="1373">
        <f t="shared" ref="AN16:AO16" si="48">$Q$16*(1+$S$16)^(AN5-$Q$5)</f>
        <v>1456003.8141402723</v>
      </c>
      <c r="AO16" s="1373">
        <f t="shared" si="48"/>
        <v>1471507.3869274657</v>
      </c>
      <c r="AQ16" s="1373">
        <f t="shared" ref="AQ16:BI16" si="49">U22*365</f>
        <v>42938313.72549019</v>
      </c>
      <c r="AR16" s="1373">
        <f t="shared" si="49"/>
        <v>43928799.471549749</v>
      </c>
      <c r="AS16" s="1373">
        <f t="shared" si="49"/>
        <v>44942133.390442051</v>
      </c>
      <c r="AT16" s="1373">
        <f t="shared" si="49"/>
        <v>45978842.535689972</v>
      </c>
      <c r="AU16" s="1373">
        <f t="shared" si="49"/>
        <v>47039466.118699506</v>
      </c>
      <c r="AV16" s="1373">
        <f t="shared" si="49"/>
        <v>48124555.789213605</v>
      </c>
      <c r="AW16" s="1373">
        <f t="shared" si="49"/>
        <v>49234675.922235183</v>
      </c>
      <c r="AX16" s="1373">
        <f t="shared" si="49"/>
        <v>50370403.911568999</v>
      </c>
      <c r="AY16" s="1373">
        <f t="shared" si="49"/>
        <v>51532330.470134646</v>
      </c>
      <c r="AZ16" s="1373">
        <f t="shared" si="49"/>
        <v>52721059.937207259</v>
      </c>
      <c r="BA16" s="1373">
        <f t="shared" si="49"/>
        <v>53937210.592745341</v>
      </c>
      <c r="BB16" s="1373">
        <f t="shared" si="49"/>
        <v>55181414.978969567</v>
      </c>
      <c r="BC16" s="1373">
        <f t="shared" si="49"/>
        <v>56454320.229359478</v>
      </c>
      <c r="BD16" s="1373">
        <f t="shared" si="49"/>
        <v>57756588.405239582</v>
      </c>
      <c r="BE16" s="1373">
        <f t="shared" si="49"/>
        <v>59088896.840129457</v>
      </c>
      <c r="BF16" s="1373">
        <f t="shared" si="49"/>
        <v>60451938.492037356</v>
      </c>
      <c r="BG16" s="1373">
        <f t="shared" si="49"/>
        <v>61846422.303880334</v>
      </c>
      <c r="BH16" s="1373">
        <f t="shared" si="49"/>
        <v>63273073.5722185</v>
      </c>
      <c r="BI16" s="1373">
        <f t="shared" si="49"/>
        <v>64732634.324494973</v>
      </c>
      <c r="BJ16" s="1373">
        <f t="shared" ref="BJ16:BK16" si="50">AN22*365</f>
        <v>66225863.704977952</v>
      </c>
      <c r="BK16" s="1373">
        <f t="shared" si="50"/>
        <v>67753538.369605541</v>
      </c>
    </row>
    <row r="17" spans="2:64" ht="15" x14ac:dyDescent="0.25">
      <c r="B17" s="964"/>
      <c r="C17" s="1375"/>
      <c r="D17" s="1375"/>
      <c r="E17" s="1375"/>
      <c r="F17" s="1379"/>
      <c r="G17" s="1367"/>
      <c r="H17" s="863" t="s">
        <v>843</v>
      </c>
      <c r="I17" s="864">
        <f>D19</f>
        <v>48573.181111111116</v>
      </c>
      <c r="J17" s="864">
        <f>D20</f>
        <v>69957.844200374326</v>
      </c>
      <c r="K17" s="1367"/>
      <c r="L17" s="1376">
        <v>0.51711692359648809</v>
      </c>
      <c r="M17" s="1376">
        <v>0.53668269237454713</v>
      </c>
      <c r="N17" s="1376">
        <v>0.52689980798551761</v>
      </c>
      <c r="P17" s="1377" t="s">
        <v>565</v>
      </c>
      <c r="Q17" s="1373">
        <f>I17*L17</f>
        <v>25118.013985472826</v>
      </c>
      <c r="R17" s="1373">
        <f>J17*M17</f>
        <v>37545.16417817599</v>
      </c>
      <c r="S17" s="879">
        <f t="shared" si="46"/>
        <v>2.2582277532354089E-2</v>
      </c>
      <c r="T17" s="1378"/>
      <c r="U17" s="1373">
        <f t="shared" ref="U17:AM17" si="51">$Q$17*(1+$S$17)^(U5-$Q$5)</f>
        <v>25118.013985472826</v>
      </c>
      <c r="V17" s="1373">
        <f t="shared" si="51"/>
        <v>25685.235948354326</v>
      </c>
      <c r="W17" s="1373">
        <f t="shared" si="51"/>
        <v>26265.267075024061</v>
      </c>
      <c r="X17" s="1373">
        <f t="shared" si="51"/>
        <v>26858.396625573656</v>
      </c>
      <c r="Y17" s="1373">
        <f t="shared" si="51"/>
        <v>27464.9203922464</v>
      </c>
      <c r="Z17" s="1373">
        <f t="shared" si="51"/>
        <v>28085.140846948121</v>
      </c>
      <c r="AA17" s="1373">
        <f t="shared" si="51"/>
        <v>28719.367292089155</v>
      </c>
      <c r="AB17" s="1373">
        <f t="shared" si="51"/>
        <v>29367.916014832728</v>
      </c>
      <c r="AC17" s="1373">
        <f t="shared" si="51"/>
        <v>30031.110444826547</v>
      </c>
      <c r="AD17" s="1373">
        <f t="shared" si="51"/>
        <v>30709.281315496395</v>
      </c>
      <c r="AE17" s="1373">
        <f t="shared" si="51"/>
        <v>31402.766828982072</v>
      </c>
      <c r="AF17" s="1373">
        <f t="shared" si="51"/>
        <v>32111.912824797953</v>
      </c>
      <c r="AG17" s="1373">
        <f t="shared" si="51"/>
        <v>32837.072952302289</v>
      </c>
      <c r="AH17" s="1373">
        <f t="shared" si="51"/>
        <v>33578.608847061339</v>
      </c>
      <c r="AI17" s="1373">
        <f t="shared" si="51"/>
        <v>34336.890311196039</v>
      </c>
      <c r="AJ17" s="1373">
        <f t="shared" si="51"/>
        <v>35112.295497801468</v>
      </c>
      <c r="AK17" s="1373">
        <f t="shared" si="51"/>
        <v>35905.211099530854</v>
      </c>
      <c r="AL17" s="1373">
        <f t="shared" si="51"/>
        <v>36716.032541438217</v>
      </c>
      <c r="AM17" s="1373">
        <f t="shared" si="51"/>
        <v>37545.164178175917</v>
      </c>
      <c r="AN17" s="1373">
        <f t="shared" ref="AN17:AO17" si="52">$Q$17*(1+$S$17)^(AN5-$Q$5)</f>
        <v>38393.019495645283</v>
      </c>
      <c r="AO17" s="1373">
        <f t="shared" si="52"/>
        <v>39260.021317201026</v>
      </c>
    </row>
    <row r="18" spans="2:64" ht="15" x14ac:dyDescent="0.25">
      <c r="B18" s="1384"/>
      <c r="C18" s="1375"/>
      <c r="D18" s="1375"/>
      <c r="E18" s="1375"/>
      <c r="F18" s="1379"/>
      <c r="G18" s="1385"/>
      <c r="H18" s="864"/>
      <c r="I18" s="864"/>
      <c r="J18" s="864"/>
      <c r="K18" s="1385"/>
      <c r="L18" s="1376">
        <v>0.28074308912928819</v>
      </c>
      <c r="M18" s="1376">
        <v>0.25374087897846559</v>
      </c>
      <c r="N18" s="1376">
        <v>0.26724198405387689</v>
      </c>
      <c r="P18" s="1380" t="s">
        <v>562</v>
      </c>
      <c r="Q18" s="1373">
        <f>I16*L18</f>
        <v>646539.77425519784</v>
      </c>
      <c r="R18" s="1373">
        <f>J16*M18</f>
        <v>681171.58258017909</v>
      </c>
      <c r="S18" s="879">
        <f t="shared" si="46"/>
        <v>2.9030675660273175E-3</v>
      </c>
      <c r="T18" s="1378"/>
      <c r="U18" s="1373">
        <f t="shared" ref="U18:AM18" si="53">$Q$18*(1+$S$18)^(U5-$Q$5)</f>
        <v>646539.77425519784</v>
      </c>
      <c r="V18" s="1373">
        <f t="shared" si="53"/>
        <v>648416.72290398472</v>
      </c>
      <c r="W18" s="1373">
        <f t="shared" si="53"/>
        <v>650299.12046151701</v>
      </c>
      <c r="X18" s="1373">
        <f t="shared" si="53"/>
        <v>652186.98274634499</v>
      </c>
      <c r="Y18" s="1373">
        <f t="shared" si="53"/>
        <v>654080.32562294102</v>
      </c>
      <c r="Z18" s="1373">
        <f t="shared" si="53"/>
        <v>655979.16500183358</v>
      </c>
      <c r="AA18" s="1373">
        <f t="shared" si="53"/>
        <v>657883.5168397401</v>
      </c>
      <c r="AB18" s="1373">
        <f t="shared" si="53"/>
        <v>659793.39713970153</v>
      </c>
      <c r="AC18" s="1373">
        <f t="shared" si="53"/>
        <v>661708.82195121667</v>
      </c>
      <c r="AD18" s="1373">
        <f t="shared" si="53"/>
        <v>663629.80737037736</v>
      </c>
      <c r="AE18" s="1373">
        <f t="shared" si="53"/>
        <v>665556.36954000324</v>
      </c>
      <c r="AF18" s="1373">
        <f t="shared" si="53"/>
        <v>667488.5246497778</v>
      </c>
      <c r="AG18" s="1373">
        <f t="shared" si="53"/>
        <v>669426.28893638391</v>
      </c>
      <c r="AH18" s="1373">
        <f t="shared" si="53"/>
        <v>671369.67868364113</v>
      </c>
      <c r="AI18" s="1373">
        <f t="shared" si="53"/>
        <v>673318.71022264194</v>
      </c>
      <c r="AJ18" s="1373">
        <f t="shared" si="53"/>
        <v>675273.39993188845</v>
      </c>
      <c r="AK18" s="1373">
        <f t="shared" si="53"/>
        <v>677233.76423743169</v>
      </c>
      <c r="AL18" s="1373">
        <f t="shared" si="53"/>
        <v>679199.81961300806</v>
      </c>
      <c r="AM18" s="1373">
        <f t="shared" si="53"/>
        <v>681171.58258017804</v>
      </c>
      <c r="AN18" s="1373">
        <f t="shared" ref="AN18:AO18" si="54">$Q$18*(1+$S$18)^(AN5-$Q$5)</f>
        <v>683149.06970846618</v>
      </c>
      <c r="AO18" s="1373">
        <f t="shared" si="54"/>
        <v>685132.29761549842</v>
      </c>
    </row>
    <row r="19" spans="2:64" ht="15" x14ac:dyDescent="0.25">
      <c r="B19" s="964" t="s">
        <v>830</v>
      </c>
      <c r="C19" s="1375">
        <f>VMT.VHT.ADT.Change!C11</f>
        <v>2302958.8235294102</v>
      </c>
      <c r="D19" s="1375">
        <f>VMT.VHT.ADT.Change!D11</f>
        <v>48573.181111111116</v>
      </c>
      <c r="E19" s="1375">
        <f>VMT.VHT.ADT.Change!F11</f>
        <v>117639.2156862745</v>
      </c>
      <c r="F19" s="1379">
        <f>VMT.VHT.ADT.Change!G11</f>
        <v>2458.8147930283226</v>
      </c>
      <c r="G19" s="1375"/>
      <c r="H19" s="864"/>
      <c r="I19" s="864"/>
      <c r="J19" s="864"/>
      <c r="K19" s="1375"/>
      <c r="L19" s="1376">
        <v>0.2805659427762901</v>
      </c>
      <c r="M19" s="1376">
        <v>0.2537152370010094</v>
      </c>
      <c r="N19" s="1376">
        <v>0.26714058988864975</v>
      </c>
      <c r="P19" s="1380" t="s">
        <v>566</v>
      </c>
      <c r="Q19" s="1373">
        <f>I17*L19</f>
        <v>13627.980352082377</v>
      </c>
      <c r="R19" s="1373">
        <f>J17*M19</f>
        <v>17749.371021377661</v>
      </c>
      <c r="S19" s="879">
        <f t="shared" si="46"/>
        <v>1.4787435976442387E-2</v>
      </c>
      <c r="T19" s="1378"/>
      <c r="U19" s="1373">
        <f t="shared" ref="U19:AM19" si="55">$Q$19*(1+$S$19)^(U5-$Q$5)</f>
        <v>13627.980352082377</v>
      </c>
      <c r="V19" s="1373">
        <f t="shared" si="55"/>
        <v>13829.50323902701</v>
      </c>
      <c r="W19" s="1373">
        <f t="shared" si="55"/>
        <v>14034.006132760125</v>
      </c>
      <c r="X19" s="1373">
        <f t="shared" si="55"/>
        <v>14241.533099941316</v>
      </c>
      <c r="Y19" s="1373">
        <f t="shared" si="55"/>
        <v>14452.128858863081</v>
      </c>
      <c r="Z19" s="1373">
        <f t="shared" si="55"/>
        <v>14665.838789086814</v>
      </c>
      <c r="AA19" s="1373">
        <f t="shared" si="55"/>
        <v>14882.708941221261</v>
      </c>
      <c r="AB19" s="1373">
        <f t="shared" si="55"/>
        <v>15102.786046845598</v>
      </c>
      <c r="AC19" s="1373">
        <f t="shared" si="55"/>
        <v>15326.117528579232</v>
      </c>
      <c r="AD19" s="1373">
        <f t="shared" si="55"/>
        <v>15552.751510300532</v>
      </c>
      <c r="AE19" s="1373">
        <f t="shared" si="55"/>
        <v>15782.736827516617</v>
      </c>
      <c r="AF19" s="1373">
        <f t="shared" si="55"/>
        <v>16016.123037886558</v>
      </c>
      <c r="AG19" s="1373">
        <f t="shared" si="55"/>
        <v>16252.960431900128</v>
      </c>
      <c r="AH19" s="1373">
        <f t="shared" si="55"/>
        <v>16493.300043714502</v>
      </c>
      <c r="AI19" s="1373">
        <f t="shared" si="55"/>
        <v>16737.193662151185</v>
      </c>
      <c r="AJ19" s="1373">
        <f t="shared" si="55"/>
        <v>16984.693841855566</v>
      </c>
      <c r="AK19" s="1373">
        <f t="shared" si="55"/>
        <v>17235.853914621479</v>
      </c>
      <c r="AL19" s="1373">
        <f t="shared" si="55"/>
        <v>17490.728000883257</v>
      </c>
      <c r="AM19" s="1373">
        <f t="shared" si="55"/>
        <v>17749.371021377687</v>
      </c>
      <c r="AN19" s="1373">
        <f t="shared" ref="AN19:AO19" si="56">$Q$19*(1+$S$19)^(AN5-$Q$5)</f>
        <v>18011.83870897843</v>
      </c>
      <c r="AO19" s="1373">
        <f t="shared" si="56"/>
        <v>18278.187620705456</v>
      </c>
      <c r="AQ19" s="1370">
        <f>2023</f>
        <v>2023</v>
      </c>
      <c r="AR19" s="1370">
        <f>AQ19+1</f>
        <v>2024</v>
      </c>
      <c r="AS19" s="1370">
        <f t="shared" ref="AS19:BI19" si="57">AR19+1</f>
        <v>2025</v>
      </c>
      <c r="AT19" s="1370">
        <f t="shared" si="57"/>
        <v>2026</v>
      </c>
      <c r="AU19" s="1370">
        <f t="shared" si="57"/>
        <v>2027</v>
      </c>
      <c r="AV19" s="1370">
        <f t="shared" si="57"/>
        <v>2028</v>
      </c>
      <c r="AW19" s="1370">
        <f t="shared" si="57"/>
        <v>2029</v>
      </c>
      <c r="AX19" s="1370">
        <f t="shared" si="57"/>
        <v>2030</v>
      </c>
      <c r="AY19" s="1370">
        <f t="shared" si="57"/>
        <v>2031</v>
      </c>
      <c r="AZ19" s="1370">
        <f t="shared" si="57"/>
        <v>2032</v>
      </c>
      <c r="BA19" s="1370">
        <f t="shared" si="57"/>
        <v>2033</v>
      </c>
      <c r="BB19" s="1370">
        <f t="shared" si="57"/>
        <v>2034</v>
      </c>
      <c r="BC19" s="1370">
        <f t="shared" si="57"/>
        <v>2035</v>
      </c>
      <c r="BD19" s="1370">
        <f t="shared" si="57"/>
        <v>2036</v>
      </c>
      <c r="BE19" s="1370">
        <f t="shared" si="57"/>
        <v>2037</v>
      </c>
      <c r="BF19" s="1370">
        <f t="shared" si="57"/>
        <v>2038</v>
      </c>
      <c r="BG19" s="1370">
        <f t="shared" si="57"/>
        <v>2039</v>
      </c>
      <c r="BH19" s="1370">
        <f t="shared" si="57"/>
        <v>2040</v>
      </c>
      <c r="BI19" s="1370">
        <f t="shared" si="57"/>
        <v>2041</v>
      </c>
      <c r="BJ19" s="1370">
        <f t="shared" ref="BJ19" si="58">BI19+1</f>
        <v>2042</v>
      </c>
      <c r="BK19" s="1370">
        <f t="shared" ref="BK19" si="59">BJ19+1</f>
        <v>2043</v>
      </c>
    </row>
    <row r="20" spans="2:64" ht="15.75" thickBot="1" x14ac:dyDescent="0.3">
      <c r="B20" s="1386" t="s">
        <v>831</v>
      </c>
      <c r="C20" s="1387">
        <f>VMT.VHT.ADT.Change!C12</f>
        <v>2684516.5245840759</v>
      </c>
      <c r="D20" s="1387">
        <f>VMT.VHT.ADT.Change!D12</f>
        <v>69957.844200374326</v>
      </c>
      <c r="E20" s="1387">
        <f>VMT.VHT.ADT.Change!F12</f>
        <v>177349.68308080808</v>
      </c>
      <c r="F20" s="1388">
        <f>VMT.VHT.ADT.Change!G12</f>
        <v>4351.183437563619</v>
      </c>
      <c r="G20" s="1389"/>
      <c r="H20" s="864"/>
      <c r="I20" s="864"/>
      <c r="J20" s="864"/>
      <c r="K20" s="1389"/>
      <c r="L20" s="1376">
        <v>0.20227232454051366</v>
      </c>
      <c r="M20" s="1376">
        <v>0.20960249350979748</v>
      </c>
      <c r="N20" s="1376">
        <v>0.20593740902515556</v>
      </c>
      <c r="P20" s="1377" t="s">
        <v>563</v>
      </c>
      <c r="Q20" s="1373">
        <f>I16*L20</f>
        <v>465824.8345563804</v>
      </c>
      <c r="R20" s="1373">
        <f>J16*M20</f>
        <v>562681.3574210779</v>
      </c>
      <c r="S20" s="879">
        <f t="shared" si="46"/>
        <v>1.0549918913992373E-2</v>
      </c>
      <c r="T20" s="1378"/>
      <c r="U20" s="1373">
        <f t="shared" ref="U20:AM20" si="60">$Q$20*(1+$S$20)^(U5-$Q$5)</f>
        <v>465824.8345563804</v>
      </c>
      <c r="V20" s="1373">
        <f t="shared" si="60"/>
        <v>470739.24878907413</v>
      </c>
      <c r="W20" s="1373">
        <f t="shared" si="60"/>
        <v>475705.50969343254</v>
      </c>
      <c r="X20" s="1373">
        <f t="shared" si="60"/>
        <v>480724.16424763773</v>
      </c>
      <c r="Y20" s="1373">
        <f t="shared" si="60"/>
        <v>485795.765200447</v>
      </c>
      <c r="Z20" s="1373">
        <f t="shared" si="60"/>
        <v>490920.87113207253</v>
      </c>
      <c r="AA20" s="1373">
        <f t="shared" si="60"/>
        <v>496100.0465157025</v>
      </c>
      <c r="AB20" s="1373">
        <f t="shared" si="60"/>
        <v>501333.86177967099</v>
      </c>
      <c r="AC20" s="1373">
        <f t="shared" si="60"/>
        <v>506622.89337028511</v>
      </c>
      <c r="AD20" s="1373">
        <f t="shared" si="60"/>
        <v>511967.72381531383</v>
      </c>
      <c r="AE20" s="1373">
        <f t="shared" si="60"/>
        <v>517368.94178814662</v>
      </c>
      <c r="AF20" s="1373">
        <f t="shared" si="60"/>
        <v>522827.14217262965</v>
      </c>
      <c r="AG20" s="1373">
        <f t="shared" si="60"/>
        <v>528342.92612858524</v>
      </c>
      <c r="AH20" s="1373">
        <f t="shared" si="60"/>
        <v>533916.90115802328</v>
      </c>
      <c r="AI20" s="1373">
        <f t="shared" si="60"/>
        <v>539549.68117205054</v>
      </c>
      <c r="AJ20" s="1373">
        <f t="shared" si="60"/>
        <v>545241.88655848603</v>
      </c>
      <c r="AK20" s="1373">
        <f t="shared" si="60"/>
        <v>550994.14425019023</v>
      </c>
      <c r="AL20" s="1373">
        <f t="shared" si="60"/>
        <v>556807.08779411437</v>
      </c>
      <c r="AM20" s="1373">
        <f t="shared" si="60"/>
        <v>562681.3574210786</v>
      </c>
      <c r="AN20" s="1373">
        <f t="shared" ref="AN20:AO20" si="61">$Q$20*(1+$S$20)^(AN5-$Q$5)</f>
        <v>568617.60011628619</v>
      </c>
      <c r="AO20" s="1373">
        <f t="shared" si="61"/>
        <v>574616.46969058178</v>
      </c>
      <c r="AQ20" s="1373">
        <f t="shared" ref="AQ20:BI20" si="62">U26*315</f>
        <v>379448813.98219019</v>
      </c>
      <c r="AR20" s="1373">
        <f t="shared" si="62"/>
        <v>383417061.16706127</v>
      </c>
      <c r="AS20" s="1373">
        <f t="shared" si="62"/>
        <v>387426807.98281795</v>
      </c>
      <c r="AT20" s="1373">
        <f t="shared" si="62"/>
        <v>391478488.42948186</v>
      </c>
      <c r="AU20" s="1373">
        <f t="shared" si="62"/>
        <v>395572541.04581386</v>
      </c>
      <c r="AV20" s="1373">
        <f t="shared" si="62"/>
        <v>399709408.95678085</v>
      </c>
      <c r="AW20" s="1373">
        <f t="shared" si="62"/>
        <v>403889539.9215166</v>
      </c>
      <c r="AX20" s="1373">
        <f t="shared" si="62"/>
        <v>408113386.38178694</v>
      </c>
      <c r="AY20" s="1373">
        <f t="shared" si="62"/>
        <v>412381405.51095927</v>
      </c>
      <c r="AZ20" s="1373">
        <f t="shared" si="62"/>
        <v>416694059.26348585</v>
      </c>
      <c r="BA20" s="1373">
        <f t="shared" si="62"/>
        <v>421051814.42490387</v>
      </c>
      <c r="BB20" s="1373">
        <f t="shared" si="62"/>
        <v>425455142.66235864</v>
      </c>
      <c r="BC20" s="1373">
        <f t="shared" si="62"/>
        <v>429904520.57565498</v>
      </c>
      <c r="BD20" s="1373">
        <f t="shared" si="62"/>
        <v>434400429.74884272</v>
      </c>
      <c r="BE20" s="1373">
        <f t="shared" si="62"/>
        <v>438943356.80234122</v>
      </c>
      <c r="BF20" s="1373">
        <f t="shared" si="62"/>
        <v>443533793.44561011</v>
      </c>
      <c r="BG20" s="1373">
        <f t="shared" si="62"/>
        <v>448172236.53036928</v>
      </c>
      <c r="BH20" s="1373">
        <f t="shared" si="62"/>
        <v>452859188.10437661</v>
      </c>
      <c r="BI20" s="1373">
        <f t="shared" si="62"/>
        <v>457595155.46576762</v>
      </c>
      <c r="BJ20" s="1373">
        <f t="shared" ref="BJ20:BK20" si="63">AN26*315</f>
        <v>462380651.21796399</v>
      </c>
      <c r="BK20" s="1373">
        <f t="shared" si="63"/>
        <v>467216193.32515496</v>
      </c>
    </row>
    <row r="21" spans="2:64" ht="15.75" thickBot="1" x14ac:dyDescent="0.3">
      <c r="B21" s="1385"/>
      <c r="C21" s="1385"/>
      <c r="D21" s="1385"/>
      <c r="E21" s="1385"/>
      <c r="F21" s="1385"/>
      <c r="G21" s="1389"/>
      <c r="H21" s="864"/>
      <c r="I21" s="864"/>
      <c r="J21" s="864"/>
      <c r="K21" s="1389"/>
      <c r="L21" s="1376">
        <v>0.20231713362722176</v>
      </c>
      <c r="M21" s="1376">
        <v>0.20960207062444361</v>
      </c>
      <c r="N21" s="1376">
        <v>0.2059596021258327</v>
      </c>
      <c r="P21" s="1377" t="s">
        <v>567</v>
      </c>
      <c r="Q21" s="1373">
        <f>I17*L21</f>
        <v>9827.1867735559117</v>
      </c>
      <c r="R21" s="1373">
        <f>J17*M21</f>
        <v>14663.309000820682</v>
      </c>
      <c r="S21" s="879">
        <f t="shared" si="46"/>
        <v>2.2482090563233248E-2</v>
      </c>
      <c r="T21" s="1378"/>
      <c r="U21" s="1373">
        <f t="shared" ref="U21:AM21" si="64">$Q$21*(1+$S$21)^(U5-$Q$5)</f>
        <v>9827.1867735559117</v>
      </c>
      <c r="V21" s="1373">
        <f t="shared" si="64"/>
        <v>10048.122476580804</v>
      </c>
      <c r="W21" s="1373">
        <f t="shared" si="64"/>
        <v>10274.025276089753</v>
      </c>
      <c r="X21" s="1373">
        <f t="shared" si="64"/>
        <v>10505.00684279575</v>
      </c>
      <c r="Y21" s="1373">
        <f t="shared" si="64"/>
        <v>10741.18135800287</v>
      </c>
      <c r="Z21" s="1373">
        <f t="shared" si="64"/>
        <v>10982.665570049603</v>
      </c>
      <c r="AA21" s="1373">
        <f t="shared" si="64"/>
        <v>11229.578852021161</v>
      </c>
      <c r="AB21" s="1373">
        <f t="shared" si="64"/>
        <v>11482.04326075927</v>
      </c>
      <c r="AC21" s="1373">
        <f t="shared" si="64"/>
        <v>11740.183597198622</v>
      </c>
      <c r="AD21" s="1373">
        <f t="shared" si="64"/>
        <v>12004.127468059825</v>
      </c>
      <c r="AE21" s="1373">
        <f t="shared" si="64"/>
        <v>12274.005348929344</v>
      </c>
      <c r="AF21" s="1373">
        <f t="shared" si="64"/>
        <v>12549.950648757582</v>
      </c>
      <c r="AG21" s="1373">
        <f t="shared" si="64"/>
        <v>12832.099775807059</v>
      </c>
      <c r="AH21" s="1373">
        <f t="shared" si="64"/>
        <v>13120.592205083196</v>
      </c>
      <c r="AI21" s="1373">
        <f t="shared" si="64"/>
        <v>13415.57054728113</v>
      </c>
      <c r="AJ21" s="1373">
        <f t="shared" si="64"/>
        <v>13717.18061928255</v>
      </c>
      <c r="AK21" s="1373">
        <f t="shared" si="64"/>
        <v>14025.571516237487</v>
      </c>
      <c r="AL21" s="1373">
        <f t="shared" si="64"/>
        <v>14340.895685266643</v>
      </c>
      <c r="AM21" s="1373">
        <f t="shared" si="64"/>
        <v>14663.309000820689</v>
      </c>
      <c r="AN21" s="1373">
        <f t="shared" ref="AN21:AO21" si="65">$Q$21*(1+$S$21)^(AN5-$Q$5)</f>
        <v>14992.970841733813</v>
      </c>
      <c r="AO21" s="1373">
        <f t="shared" si="65"/>
        <v>15330.044170009589</v>
      </c>
      <c r="AQ21" s="1373">
        <f t="shared" ref="AQ21:BI21" si="66">U28*315</f>
        <v>205981376.3284108</v>
      </c>
      <c r="AR21" s="1373">
        <f t="shared" si="66"/>
        <v>206544196.519658</v>
      </c>
      <c r="AS21" s="1373">
        <f t="shared" si="66"/>
        <v>207108554.55172035</v>
      </c>
      <c r="AT21" s="1373">
        <f t="shared" si="66"/>
        <v>207674454.62656927</v>
      </c>
      <c r="AU21" s="1373">
        <f t="shared" si="66"/>
        <v>208241900.95765764</v>
      </c>
      <c r="AV21" s="1373">
        <f t="shared" si="66"/>
        <v>208810897.76995102</v>
      </c>
      <c r="AW21" s="1373">
        <f t="shared" si="66"/>
        <v>209381449.2999593</v>
      </c>
      <c r="AX21" s="1373">
        <f t="shared" si="66"/>
        <v>209953559.79576808</v>
      </c>
      <c r="AY21" s="1373">
        <f t="shared" si="66"/>
        <v>210527233.51707035</v>
      </c>
      <c r="AZ21" s="1373">
        <f t="shared" si="66"/>
        <v>211102474.73519826</v>
      </c>
      <c r="BA21" s="1373">
        <f t="shared" si="66"/>
        <v>211679287.73315492</v>
      </c>
      <c r="BB21" s="1373">
        <f t="shared" si="66"/>
        <v>212257676.80564606</v>
      </c>
      <c r="BC21" s="1373">
        <f t="shared" si="66"/>
        <v>212837646.25911251</v>
      </c>
      <c r="BD21" s="1373">
        <f t="shared" si="66"/>
        <v>213419200.41176152</v>
      </c>
      <c r="BE21" s="1373">
        <f t="shared" si="66"/>
        <v>214002343.59359983</v>
      </c>
      <c r="BF21" s="1373">
        <f t="shared" si="66"/>
        <v>214587080.14646497</v>
      </c>
      <c r="BG21" s="1373">
        <f t="shared" si="66"/>
        <v>215173414.42405835</v>
      </c>
      <c r="BH21" s="1373">
        <f t="shared" si="66"/>
        <v>215761350.79197726</v>
      </c>
      <c r="BI21" s="1373">
        <f t="shared" si="66"/>
        <v>216350893.62774748</v>
      </c>
      <c r="BJ21" s="1373">
        <f t="shared" ref="BJ21:BK21" si="67">AN28*315</f>
        <v>216942047.32085577</v>
      </c>
      <c r="BK21" s="1373">
        <f t="shared" si="67"/>
        <v>217534816.27278283</v>
      </c>
    </row>
    <row r="22" spans="2:64" x14ac:dyDescent="0.3">
      <c r="B22" s="1913" t="s">
        <v>832</v>
      </c>
      <c r="C22" s="1915" t="s">
        <v>348</v>
      </c>
      <c r="D22" s="1915"/>
      <c r="E22" s="1915" t="s">
        <v>347</v>
      </c>
      <c r="F22" s="1916"/>
      <c r="G22" s="1390"/>
      <c r="H22" s="1382" t="s">
        <v>564</v>
      </c>
      <c r="I22" s="864">
        <f>E19</f>
        <v>117639.2156862745</v>
      </c>
      <c r="J22" s="864">
        <f>E20</f>
        <v>177349.68308080808</v>
      </c>
      <c r="K22" s="1390"/>
      <c r="P22" s="1380" t="s">
        <v>564</v>
      </c>
      <c r="Q22" s="1373">
        <f>I22</f>
        <v>117639.2156862745</v>
      </c>
      <c r="R22" s="1373">
        <f>J22</f>
        <v>177349.68308080808</v>
      </c>
      <c r="S22" s="879">
        <f t="shared" si="46"/>
        <v>2.306764425803598E-2</v>
      </c>
      <c r="T22" s="1391"/>
      <c r="U22" s="1373">
        <f t="shared" ref="U22:AM22" si="68">$Q$22*(1+$S$22)^(U5-$Q$5)</f>
        <v>117639.2156862745</v>
      </c>
      <c r="V22" s="1373">
        <f t="shared" si="68"/>
        <v>120352.87526451985</v>
      </c>
      <c r="W22" s="1373">
        <f t="shared" si="68"/>
        <v>123129.13257655356</v>
      </c>
      <c r="X22" s="1373">
        <f t="shared" si="68"/>
        <v>125969.43160463005</v>
      </c>
      <c r="Y22" s="1373">
        <f t="shared" si="68"/>
        <v>128875.24964027262</v>
      </c>
      <c r="Z22" s="1373">
        <f t="shared" si="68"/>
        <v>131848.09805264001</v>
      </c>
      <c r="AA22" s="1373">
        <f t="shared" si="68"/>
        <v>134889.52307461694</v>
      </c>
      <c r="AB22" s="1373">
        <f t="shared" si="68"/>
        <v>138001.10660703835</v>
      </c>
      <c r="AC22" s="1373">
        <f t="shared" si="68"/>
        <v>141184.46704146478</v>
      </c>
      <c r="AD22" s="1373">
        <f t="shared" si="68"/>
        <v>144441.26010193769</v>
      </c>
      <c r="AE22" s="1373">
        <f t="shared" si="68"/>
        <v>147773.17970615163</v>
      </c>
      <c r="AF22" s="1373">
        <f t="shared" si="68"/>
        <v>151181.95884649197</v>
      </c>
      <c r="AG22" s="1373">
        <f t="shared" si="68"/>
        <v>154669.37049139582</v>
      </c>
      <c r="AH22" s="1373">
        <f t="shared" si="68"/>
        <v>158237.2285075057</v>
      </c>
      <c r="AI22" s="1373">
        <f t="shared" si="68"/>
        <v>161887.38860309441</v>
      </c>
      <c r="AJ22" s="1373">
        <f t="shared" si="68"/>
        <v>165621.74929325303</v>
      </c>
      <c r="AK22" s="1373">
        <f t="shared" si="68"/>
        <v>169442.25288734338</v>
      </c>
      <c r="AL22" s="1373">
        <f t="shared" si="68"/>
        <v>173350.88649922877</v>
      </c>
      <c r="AM22" s="1373">
        <f t="shared" si="68"/>
        <v>177349.68308080814</v>
      </c>
      <c r="AN22" s="1373">
        <f t="shared" ref="AN22:AO22" si="69">$Q$22*(1+$S$22)^(AN5-$Q$5)</f>
        <v>181440.72247939164</v>
      </c>
      <c r="AO22" s="1373">
        <f t="shared" si="69"/>
        <v>185626.13251946724</v>
      </c>
      <c r="AQ22" s="1373">
        <f t="shared" ref="AQ22:BI22" si="70">U30*265</f>
        <v>124894315.15420036</v>
      </c>
      <c r="AR22" s="1373">
        <f t="shared" si="70"/>
        <v>126188184.48332641</v>
      </c>
      <c r="AS22" s="1373">
        <f t="shared" si="70"/>
        <v>127495457.9280744</v>
      </c>
      <c r="AT22" s="1373">
        <f t="shared" si="70"/>
        <v>128816274.35124263</v>
      </c>
      <c r="AU22" s="1373">
        <f t="shared" si="70"/>
        <v>130150774.05420808</v>
      </c>
      <c r="AV22" s="1373">
        <f t="shared" si="70"/>
        <v>131499098.79182999</v>
      </c>
      <c r="AW22" s="1373">
        <f t="shared" si="70"/>
        <v>132861391.78750716</v>
      </c>
      <c r="AX22" s="1373">
        <f t="shared" si="70"/>
        <v>134237797.74839184</v>
      </c>
      <c r="AY22" s="1373">
        <f t="shared" si="70"/>
        <v>135628462.88076097</v>
      </c>
      <c r="AZ22" s="1373">
        <f t="shared" si="70"/>
        <v>137033534.90554661</v>
      </c>
      <c r="BA22" s="1373">
        <f t="shared" si="70"/>
        <v>138453163.0740273</v>
      </c>
      <c r="BB22" s="1373">
        <f t="shared" si="70"/>
        <v>139887498.18368214</v>
      </c>
      <c r="BC22" s="1373">
        <f t="shared" si="70"/>
        <v>141336692.59420896</v>
      </c>
      <c r="BD22" s="1373">
        <f t="shared" si="70"/>
        <v>142800900.24370831</v>
      </c>
      <c r="BE22" s="1373">
        <f t="shared" si="70"/>
        <v>144280276.66503546</v>
      </c>
      <c r="BF22" s="1373">
        <f t="shared" si="70"/>
        <v>145774979.00232136</v>
      </c>
      <c r="BG22" s="1373">
        <f t="shared" si="70"/>
        <v>147285166.02766532</v>
      </c>
      <c r="BH22" s="1373">
        <f t="shared" si="70"/>
        <v>148810998.15800005</v>
      </c>
      <c r="BI22" s="1373">
        <f t="shared" si="70"/>
        <v>150352637.47213176</v>
      </c>
      <c r="BJ22" s="1373">
        <f t="shared" ref="BJ22:BK22" si="71">AN30*265</f>
        <v>151910247.72795659</v>
      </c>
      <c r="BK22" s="1373">
        <f t="shared" si="71"/>
        <v>153483994.37985557</v>
      </c>
    </row>
    <row r="23" spans="2:64" x14ac:dyDescent="0.3">
      <c r="B23" s="1914"/>
      <c r="C23" s="1369" t="s">
        <v>814</v>
      </c>
      <c r="D23" s="1369" t="s">
        <v>815</v>
      </c>
      <c r="E23" s="1369" t="s">
        <v>814</v>
      </c>
      <c r="F23" s="1374" t="s">
        <v>815</v>
      </c>
      <c r="G23" s="1389"/>
      <c r="H23" s="1382" t="s">
        <v>568</v>
      </c>
      <c r="I23" s="864">
        <f>F19</f>
        <v>2458.8147930283226</v>
      </c>
      <c r="J23" s="864">
        <f>F20</f>
        <v>4351.183437563619</v>
      </c>
      <c r="K23" s="1389"/>
      <c r="P23" s="1380" t="s">
        <v>568</v>
      </c>
      <c r="Q23" s="1373">
        <f>I23</f>
        <v>2458.8147930283226</v>
      </c>
      <c r="R23" s="1373">
        <f>J23</f>
        <v>4351.183437563619</v>
      </c>
      <c r="S23" s="879">
        <f t="shared" si="46"/>
        <v>3.221745459993941E-2</v>
      </c>
      <c r="T23" s="1378"/>
      <c r="U23" s="1373">
        <f t="shared" ref="U23:AM23" si="72">$Q$23*(1+$S$23)^(U5-$Q$5)</f>
        <v>2458.8147930283226</v>
      </c>
      <c r="V23" s="1373">
        <f t="shared" si="72"/>
        <v>2538.0315469923721</v>
      </c>
      <c r="W23" s="1373">
        <f t="shared" si="72"/>
        <v>2619.8004631308127</v>
      </c>
      <c r="X23" s="1373">
        <f t="shared" si="72"/>
        <v>2704.2037656126299</v>
      </c>
      <c r="Y23" s="1373">
        <f t="shared" si="72"/>
        <v>2791.3263276602397</v>
      </c>
      <c r="Z23" s="1373">
        <f t="shared" si="72"/>
        <v>2881.2557568952489</v>
      </c>
      <c r="AA23" s="1373">
        <f t="shared" si="72"/>
        <v>2974.082483433835</v>
      </c>
      <c r="AB23" s="1373">
        <f t="shared" si="72"/>
        <v>3069.8998508203399</v>
      </c>
      <c r="AC23" s="1373">
        <f t="shared" si="72"/>
        <v>3168.8042098905048</v>
      </c>
      <c r="AD23" s="1373">
        <f t="shared" si="72"/>
        <v>3270.8950156587489</v>
      </c>
      <c r="AE23" s="1373">
        <f t="shared" si="72"/>
        <v>3376.2749273269028</v>
      </c>
      <c r="AF23" s="1373">
        <f t="shared" si="72"/>
        <v>3485.049911514971</v>
      </c>
      <c r="AG23" s="1373">
        <f t="shared" si="72"/>
        <v>3597.3293488177269</v>
      </c>
      <c r="AH23" s="1373">
        <f t="shared" si="72"/>
        <v>3713.2261437942916</v>
      </c>
      <c r="AI23" s="1373">
        <f t="shared" si="72"/>
        <v>3832.8568385012923</v>
      </c>
      <c r="AJ23" s="1373">
        <f t="shared" si="72"/>
        <v>3956.3417296837752</v>
      </c>
      <c r="AK23" s="1373">
        <f t="shared" si="72"/>
        <v>4083.8049897417072</v>
      </c>
      <c r="AL23" s="1373">
        <f t="shared" si="72"/>
        <v>4215.3747915937165</v>
      </c>
      <c r="AM23" s="1373">
        <f t="shared" si="72"/>
        <v>4351.1834375636163</v>
      </c>
      <c r="AN23" s="1373">
        <f t="shared" ref="AN23:AO23" si="73">$Q$23*(1+$S$23)^(AN5-$Q$5)</f>
        <v>4491.3674924193301</v>
      </c>
      <c r="AO23" s="1373">
        <f t="shared" si="73"/>
        <v>4636.067920697993</v>
      </c>
      <c r="AQ23" s="1373">
        <f t="shared" ref="AQ23:BI23" si="74">U32*365</f>
        <v>43316911.764705881</v>
      </c>
      <c r="AR23" s="1373">
        <f t="shared" si="74"/>
        <v>44290358.775713623</v>
      </c>
      <c r="AS23" s="1373">
        <f t="shared" si="74"/>
        <v>45285681.747971497</v>
      </c>
      <c r="AT23" s="1373">
        <f t="shared" si="74"/>
        <v>46303372.292913094</v>
      </c>
      <c r="AU23" s="1373">
        <f t="shared" si="74"/>
        <v>47343933.069797494</v>
      </c>
      <c r="AV23" s="1373">
        <f t="shared" si="74"/>
        <v>48407878.033983424</v>
      </c>
      <c r="AW23" s="1373">
        <f t="shared" si="74"/>
        <v>49495732.690782927</v>
      </c>
      <c r="AX23" s="1373">
        <f t="shared" si="74"/>
        <v>50608034.355019726</v>
      </c>
      <c r="AY23" s="1373">
        <f t="shared" si="74"/>
        <v>51745332.416420579</v>
      </c>
      <c r="AZ23" s="1373">
        <f t="shared" si="74"/>
        <v>52908188.610970639</v>
      </c>
      <c r="BA23" s="1373">
        <f t="shared" si="74"/>
        <v>54097177.298367038</v>
      </c>
      <c r="BB23" s="1373">
        <f t="shared" si="74"/>
        <v>55312885.74570743</v>
      </c>
      <c r="BC23" s="1373">
        <f t="shared" si="74"/>
        <v>56555914.417553887</v>
      </c>
      <c r="BD23" s="1373">
        <f t="shared" si="74"/>
        <v>57826877.272515193</v>
      </c>
      <c r="BE23" s="1373">
        <f t="shared" si="74"/>
        <v>59126402.066494316</v>
      </c>
      <c r="BF23" s="1373">
        <f t="shared" si="74"/>
        <v>60455130.662750512</v>
      </c>
      <c r="BG23" s="1373">
        <f t="shared" si="74"/>
        <v>61813719.348929383</v>
      </c>
      <c r="BH23" s="1373">
        <f t="shared" si="74"/>
        <v>63202839.161217436</v>
      </c>
      <c r="BI23" s="1373">
        <f t="shared" si="74"/>
        <v>64623176.21578142</v>
      </c>
      <c r="BJ23" s="1373">
        <f t="shared" ref="BJ23:BK23" si="75">AN32*365</f>
        <v>66075432.047655731</v>
      </c>
      <c r="BK23" s="1373">
        <f t="shared" si="75"/>
        <v>67560323.957245752</v>
      </c>
      <c r="BL23" s="1373">
        <f>BI20+BI21+BI22+BI23</f>
        <v>888921862.78142834</v>
      </c>
    </row>
    <row r="24" spans="2:64" ht="21" x14ac:dyDescent="0.35">
      <c r="B24" s="964"/>
      <c r="C24" s="1375"/>
      <c r="D24" s="1375"/>
      <c r="E24" s="1375"/>
      <c r="F24" s="1379"/>
      <c r="G24" s="1375"/>
      <c r="H24" s="865" t="s">
        <v>845</v>
      </c>
      <c r="I24" s="1368"/>
      <c r="J24" s="1368"/>
      <c r="K24" s="1375"/>
      <c r="L24" s="1376"/>
      <c r="M24" s="1376"/>
      <c r="N24" s="1376"/>
      <c r="P24" s="861" t="s">
        <v>845</v>
      </c>
      <c r="T24" s="1383"/>
      <c r="U24" s="1373">
        <f>U16+U18+U20+U22</f>
        <v>2420598.0392156849</v>
      </c>
      <c r="V24" s="1373">
        <f t="shared" ref="V24:AL24" si="76">V16+V18+V20+V22</f>
        <v>2442780.5449955957</v>
      </c>
      <c r="W24" s="1373">
        <f t="shared" si="76"/>
        <v>2465217.9343167259</v>
      </c>
      <c r="X24" s="1373">
        <f t="shared" si="76"/>
        <v>2487913.6513380939</v>
      </c>
      <c r="Y24" s="1373">
        <f t="shared" si="76"/>
        <v>2510871.1946497513</v>
      </c>
      <c r="Z24" s="1373">
        <f t="shared" si="76"/>
        <v>2534094.1182651357</v>
      </c>
      <c r="AA24" s="1373">
        <f t="shared" si="76"/>
        <v>2557586.0326335155</v>
      </c>
      <c r="AB24" s="1373">
        <f t="shared" si="76"/>
        <v>2581350.6056729835</v>
      </c>
      <c r="AC24" s="1373">
        <f t="shared" si="76"/>
        <v>2605391.5638244255</v>
      </c>
      <c r="AD24" s="1373">
        <f t="shared" si="76"/>
        <v>2629712.6931269225</v>
      </c>
      <c r="AE24" s="1373">
        <f t="shared" si="76"/>
        <v>2654317.8403150509</v>
      </c>
      <c r="AF24" s="1373">
        <f t="shared" si="76"/>
        <v>2679210.9139385577</v>
      </c>
      <c r="AG24" s="1373">
        <f t="shared" si="76"/>
        <v>2704395.8855048874</v>
      </c>
      <c r="AH24" s="1373">
        <f t="shared" si="76"/>
        <v>2729876.7906450676</v>
      </c>
      <c r="AI24" s="1373">
        <f t="shared" si="76"/>
        <v>2755657.73030345</v>
      </c>
      <c r="AJ24" s="1373">
        <f t="shared" si="76"/>
        <v>2781742.8719518306</v>
      </c>
      <c r="AK24" s="1373">
        <f t="shared" si="76"/>
        <v>2808136.4508284791</v>
      </c>
      <c r="AL24" s="1373">
        <f t="shared" si="76"/>
        <v>2834842.7712026141</v>
      </c>
    </row>
    <row r="25" spans="2:64" s="253" customFormat="1" ht="21.75" customHeight="1" x14ac:dyDescent="0.25">
      <c r="B25" s="964"/>
      <c r="C25" s="1375"/>
      <c r="D25" s="1375"/>
      <c r="E25" s="1375"/>
      <c r="F25" s="1379"/>
      <c r="G25" s="1390"/>
      <c r="H25" s="862" t="s">
        <v>0</v>
      </c>
      <c r="I25" s="1370">
        <v>2023</v>
      </c>
      <c r="J25" s="1370">
        <v>2041</v>
      </c>
      <c r="K25" s="1390"/>
      <c r="L25" s="1390"/>
      <c r="M25" s="1390"/>
      <c r="O25" s="574"/>
      <c r="P25" s="1371" t="s">
        <v>0</v>
      </c>
      <c r="Q25" s="1370">
        <v>2023</v>
      </c>
      <c r="R25" s="1370">
        <v>2041</v>
      </c>
      <c r="S25" s="1370" t="s">
        <v>211</v>
      </c>
      <c r="T25" s="1372"/>
      <c r="U25" s="1370">
        <f>2023</f>
        <v>2023</v>
      </c>
      <c r="V25" s="1370">
        <f>U25+1</f>
        <v>2024</v>
      </c>
      <c r="W25" s="1370">
        <f t="shared" ref="W25:AL25" si="77">V25+1</f>
        <v>2025</v>
      </c>
      <c r="X25" s="1370">
        <f t="shared" si="77"/>
        <v>2026</v>
      </c>
      <c r="Y25" s="1370">
        <f t="shared" si="77"/>
        <v>2027</v>
      </c>
      <c r="Z25" s="1370">
        <f t="shared" si="77"/>
        <v>2028</v>
      </c>
      <c r="AA25" s="1370">
        <f t="shared" si="77"/>
        <v>2029</v>
      </c>
      <c r="AB25" s="1370">
        <f t="shared" si="77"/>
        <v>2030</v>
      </c>
      <c r="AC25" s="1370">
        <f t="shared" si="77"/>
        <v>2031</v>
      </c>
      <c r="AD25" s="1370">
        <f t="shared" si="77"/>
        <v>2032</v>
      </c>
      <c r="AE25" s="1370">
        <f t="shared" si="77"/>
        <v>2033</v>
      </c>
      <c r="AF25" s="1370">
        <f t="shared" si="77"/>
        <v>2034</v>
      </c>
      <c r="AG25" s="1370">
        <f t="shared" si="77"/>
        <v>2035</v>
      </c>
      <c r="AH25" s="1370">
        <f t="shared" si="77"/>
        <v>2036</v>
      </c>
      <c r="AI25" s="1370">
        <f t="shared" si="77"/>
        <v>2037</v>
      </c>
      <c r="AJ25" s="1370">
        <f t="shared" si="77"/>
        <v>2038</v>
      </c>
      <c r="AK25" s="1370">
        <f t="shared" si="77"/>
        <v>2039</v>
      </c>
      <c r="AL25" s="1370">
        <f t="shared" si="77"/>
        <v>2040</v>
      </c>
      <c r="AM25" s="1370">
        <f t="shared" ref="AM25" si="78">AL25+1</f>
        <v>2041</v>
      </c>
      <c r="AN25" s="1370">
        <f t="shared" ref="AN25" si="79">AM25+1</f>
        <v>2042</v>
      </c>
      <c r="AO25" s="1370">
        <f t="shared" ref="AO25" si="80">AN25+1</f>
        <v>2043</v>
      </c>
    </row>
    <row r="26" spans="2:64" ht="15" x14ac:dyDescent="0.25">
      <c r="B26" s="1392"/>
      <c r="C26" s="1375"/>
      <c r="D26" s="1375"/>
      <c r="E26" s="1375"/>
      <c r="F26" s="1379"/>
      <c r="H26" s="863" t="s">
        <v>841</v>
      </c>
      <c r="I26" s="864">
        <f>C13</f>
        <v>2329807.8431372549</v>
      </c>
      <c r="J26" s="864">
        <f>C14</f>
        <v>2706879.7102546045</v>
      </c>
      <c r="L26" s="1376">
        <v>0.51703809522985811</v>
      </c>
      <c r="M26" s="1376">
        <v>0.53666331300995407</v>
      </c>
      <c r="N26" s="1376">
        <v>0.52685070411990609</v>
      </c>
      <c r="P26" s="1377" t="s">
        <v>561</v>
      </c>
      <c r="Q26" s="1373">
        <f>I26*L26</f>
        <v>1204599.4094672704</v>
      </c>
      <c r="R26" s="1373">
        <f>J26*M26</f>
        <v>1452683.0332246607</v>
      </c>
      <c r="S26" s="879">
        <f t="shared" ref="S26:S33" si="81">(R26/Q26)^(1/($R$5-$Q$5))-1</f>
        <v>1.0457924860077128E-2</v>
      </c>
      <c r="T26" s="1378"/>
      <c r="U26" s="1373">
        <f t="shared" ref="U26:AM26" si="82">$Q$26*(1+$S$26)^(U5-$Q$5)</f>
        <v>1204599.4094672704</v>
      </c>
      <c r="V26" s="1373">
        <f t="shared" si="82"/>
        <v>1217197.0195779724</v>
      </c>
      <c r="W26" s="1373">
        <f t="shared" si="82"/>
        <v>1229926.3745486285</v>
      </c>
      <c r="X26" s="1373">
        <f t="shared" si="82"/>
        <v>1242788.8521570852</v>
      </c>
      <c r="Y26" s="1373">
        <f t="shared" si="82"/>
        <v>1255785.8445898853</v>
      </c>
      <c r="Z26" s="1373">
        <f t="shared" si="82"/>
        <v>1268918.7585929551</v>
      </c>
      <c r="AA26" s="1373">
        <f t="shared" si="82"/>
        <v>1282189.0156238622</v>
      </c>
      <c r="AB26" s="1373">
        <f t="shared" si="82"/>
        <v>1295598.0520056728</v>
      </c>
      <c r="AC26" s="1373">
        <f t="shared" si="82"/>
        <v>1309147.3190824103</v>
      </c>
      <c r="AD26" s="1373">
        <f t="shared" si="82"/>
        <v>1322838.2833761456</v>
      </c>
      <c r="AE26" s="1373">
        <f t="shared" si="82"/>
        <v>1336672.4267457265</v>
      </c>
      <c r="AF26" s="1373">
        <f t="shared" si="82"/>
        <v>1350651.2465471702</v>
      </c>
      <c r="AG26" s="1373">
        <f t="shared" si="82"/>
        <v>1364776.25579573</v>
      </c>
      <c r="AH26" s="1373">
        <f t="shared" si="82"/>
        <v>1379048.9833296593</v>
      </c>
      <c r="AI26" s="1373">
        <f t="shared" si="82"/>
        <v>1393470.9739756864</v>
      </c>
      <c r="AJ26" s="1373">
        <f t="shared" si="82"/>
        <v>1408043.7887162226</v>
      </c>
      <c r="AK26" s="1373">
        <f t="shared" si="82"/>
        <v>1422769.0048583152</v>
      </c>
      <c r="AL26" s="1373">
        <f t="shared" si="82"/>
        <v>1437648.2162043701</v>
      </c>
      <c r="AM26" s="1373">
        <f t="shared" si="82"/>
        <v>1452683.033224659</v>
      </c>
      <c r="AN26" s="1373">
        <f t="shared" ref="AN26:AO26" si="83">$Q$26*(1+$S$26)^(AN5-$Q$5)</f>
        <v>1467875.0832316317</v>
      </c>
      <c r="AO26" s="1373">
        <f t="shared" si="83"/>
        <v>1483226.0105560475</v>
      </c>
    </row>
    <row r="27" spans="2:64" ht="15" x14ac:dyDescent="0.25">
      <c r="B27" s="964" t="s">
        <v>833</v>
      </c>
      <c r="C27" s="1375">
        <f>VMT.VHT.ADT.Change!C30</f>
        <v>315770.16397021478</v>
      </c>
      <c r="D27" s="1375">
        <f>VMT.VHT.ADT.Change!D30</f>
        <v>97.464379231496423</v>
      </c>
      <c r="E27" s="1375">
        <f>VMT.VHT.ADT.Change!F30</f>
        <v>-11494.496771510792</v>
      </c>
      <c r="F27" s="1379">
        <f>VMT.VHT.ADT.Change!G30</f>
        <v>-729.75109579339232</v>
      </c>
      <c r="G27" s="1389"/>
      <c r="H27" s="863" t="s">
        <v>843</v>
      </c>
      <c r="I27" s="864">
        <f>D13</f>
        <v>51986.688284313728</v>
      </c>
      <c r="J27" s="864">
        <f>D14</f>
        <v>76398.265087611275</v>
      </c>
      <c r="K27" s="1389"/>
      <c r="L27" s="1376">
        <v>0.51716811910712968</v>
      </c>
      <c r="M27" s="1376">
        <v>0.53668836514173102</v>
      </c>
      <c r="N27" s="1376">
        <v>0.52692824212443035</v>
      </c>
      <c r="P27" s="1377" t="s">
        <v>565</v>
      </c>
      <c r="Q27" s="1373">
        <f>I27*L27</f>
        <v>26885.857798607187</v>
      </c>
      <c r="R27" s="1373">
        <f>J27*M27</f>
        <v>41002.059989534682</v>
      </c>
      <c r="S27" s="879">
        <f t="shared" si="81"/>
        <v>2.3722670891503483E-2</v>
      </c>
      <c r="T27" s="1378"/>
      <c r="U27" s="1373">
        <f t="shared" ref="U27:AM27" si="84">$Q$27*(1+$S$27)^(U5-$Q$5)</f>
        <v>26885.857798607187</v>
      </c>
      <c r="V27" s="1373">
        <f t="shared" si="84"/>
        <v>27523.662154799309</v>
      </c>
      <c r="W27" s="1373">
        <f t="shared" si="84"/>
        <v>28176.596933826542</v>
      </c>
      <c r="X27" s="1373">
        <f t="shared" si="84"/>
        <v>28845.021069730254</v>
      </c>
      <c r="Y27" s="1373">
        <f t="shared" si="84"/>
        <v>29529.302011425949</v>
      </c>
      <c r="Z27" s="1373">
        <f t="shared" si="84"/>
        <v>30229.815924698818</v>
      </c>
      <c r="AA27" s="1373">
        <f t="shared" si="84"/>
        <v>30946.94789899118</v>
      </c>
      <c r="AB27" s="1373">
        <f t="shared" si="84"/>
        <v>31681.092159095453</v>
      </c>
      <c r="AC27" s="1373">
        <f t="shared" si="84"/>
        <v>32432.652281869068</v>
      </c>
      <c r="AD27" s="1373">
        <f t="shared" si="84"/>
        <v>33202.041418090419</v>
      </c>
      <c r="AE27" s="1373">
        <f t="shared" si="84"/>
        <v>33989.682519577844</v>
      </c>
      <c r="AF27" s="1373">
        <f t="shared" si="84"/>
        <v>34796.008571696482</v>
      </c>
      <c r="AG27" s="1373">
        <f t="shared" si="84"/>
        <v>35621.46283138077</v>
      </c>
      <c r="AH27" s="1373">
        <f t="shared" si="84"/>
        <v>36466.49907080354</v>
      </c>
      <c r="AI27" s="1373">
        <f t="shared" si="84"/>
        <v>37331.581826825532</v>
      </c>
      <c r="AJ27" s="1373">
        <f t="shared" si="84"/>
        <v>38217.186656362552</v>
      </c>
      <c r="AK27" s="1373">
        <f t="shared" si="84"/>
        <v>39123.800397810592</v>
      </c>
      <c r="AL27" s="1373">
        <f t="shared" si="84"/>
        <v>40051.921438672725</v>
      </c>
      <c r="AM27" s="1373">
        <f t="shared" si="84"/>
        <v>41002.059989534711</v>
      </c>
      <c r="AN27" s="1373">
        <f t="shared" ref="AN27:AO27" si="85">$Q$27*(1+$S$27)^(AN5-$Q$5)</f>
        <v>41974.738364540128</v>
      </c>
      <c r="AO27" s="1373">
        <f t="shared" si="85"/>
        <v>42970.491268519079</v>
      </c>
    </row>
    <row r="28" spans="2:64" ht="15" x14ac:dyDescent="0.25">
      <c r="B28" s="964" t="s">
        <v>834</v>
      </c>
      <c r="C28" s="1375">
        <f>VMT.VHT.ADT.Change!C31</f>
        <v>450003.23966636928</v>
      </c>
      <c r="D28" s="1375">
        <f>VMT.VHT.ADT.Change!D31</f>
        <v>-25970.432835046668</v>
      </c>
      <c r="E28" s="1375">
        <f>VMT.VHT.ADT.Change!F31</f>
        <v>30639.993929887132</v>
      </c>
      <c r="F28" s="1379">
        <f>VMT.VHT.ADT.Change!G31</f>
        <v>-2092.0077358060244</v>
      </c>
      <c r="G28" s="1390"/>
      <c r="H28" s="864"/>
      <c r="I28" s="864"/>
      <c r="J28" s="864"/>
      <c r="K28" s="1390"/>
      <c r="L28" s="1376">
        <v>0.28067084293130723</v>
      </c>
      <c r="M28" s="1376">
        <v>0.25373430194808277</v>
      </c>
      <c r="N28" s="1376">
        <v>0.26720257243969503</v>
      </c>
      <c r="P28" s="1380" t="s">
        <v>562</v>
      </c>
      <c r="Q28" s="1373">
        <f>I26*L28</f>
        <v>653909.13120130415</v>
      </c>
      <c r="R28" s="1373">
        <f>J26*M28</f>
        <v>686828.2337388806</v>
      </c>
      <c r="S28" s="879">
        <f t="shared" si="81"/>
        <v>2.732383875083233E-3</v>
      </c>
      <c r="T28" s="1378"/>
      <c r="U28" s="1373">
        <f t="shared" ref="U28:AM28" si="86">$Q$28*(1+$S$28)^(U5-$Q$5)</f>
        <v>653909.13120130415</v>
      </c>
      <c r="V28" s="1373">
        <f t="shared" si="86"/>
        <v>655695.86196716828</v>
      </c>
      <c r="W28" s="1373">
        <f t="shared" si="86"/>
        <v>657487.47476736619</v>
      </c>
      <c r="X28" s="1373">
        <f t="shared" si="86"/>
        <v>659283.98294148978</v>
      </c>
      <c r="Y28" s="1373">
        <f t="shared" si="86"/>
        <v>661085.39986557979</v>
      </c>
      <c r="Z28" s="1373">
        <f t="shared" si="86"/>
        <v>662891.73895222542</v>
      </c>
      <c r="AA28" s="1373">
        <f t="shared" si="86"/>
        <v>664703.01365066448</v>
      </c>
      <c r="AB28" s="1373">
        <f t="shared" si="86"/>
        <v>666519.23744688276</v>
      </c>
      <c r="AC28" s="1373">
        <f t="shared" si="86"/>
        <v>668340.42386371538</v>
      </c>
      <c r="AD28" s="1373">
        <f t="shared" si="86"/>
        <v>670166.58646094683</v>
      </c>
      <c r="AE28" s="1373">
        <f t="shared" si="86"/>
        <v>671997.73883541243</v>
      </c>
      <c r="AF28" s="1373">
        <f t="shared" si="86"/>
        <v>673833.89462109865</v>
      </c>
      <c r="AG28" s="1373">
        <f t="shared" si="86"/>
        <v>675675.06748924602</v>
      </c>
      <c r="AH28" s="1373">
        <f t="shared" si="86"/>
        <v>677521.27114844928</v>
      </c>
      <c r="AI28" s="1373">
        <f t="shared" si="86"/>
        <v>679372.51934476139</v>
      </c>
      <c r="AJ28" s="1373">
        <f t="shared" si="86"/>
        <v>681228.82586179359</v>
      </c>
      <c r="AK28" s="1373">
        <f t="shared" si="86"/>
        <v>683090.20452082017</v>
      </c>
      <c r="AL28" s="1373">
        <f t="shared" si="86"/>
        <v>684956.66918088018</v>
      </c>
      <c r="AM28" s="1373">
        <f t="shared" si="86"/>
        <v>686828.23373888084</v>
      </c>
      <c r="AN28" s="1373">
        <f t="shared" ref="AN28:AO28" si="87">$Q$28*(1+$S$28)^(AN5-$Q$5)</f>
        <v>688704.91212970088</v>
      </c>
      <c r="AO28" s="1373">
        <f t="shared" si="87"/>
        <v>690586.71832629468</v>
      </c>
    </row>
    <row r="29" spans="2:64" ht="15" x14ac:dyDescent="0.25">
      <c r="B29" s="1392"/>
      <c r="C29" s="1375"/>
      <c r="D29" s="1375"/>
      <c r="E29" s="1375"/>
      <c r="F29" s="1379"/>
      <c r="G29" s="1348"/>
      <c r="H29" s="864"/>
      <c r="I29" s="864"/>
      <c r="J29" s="864"/>
      <c r="K29" s="1348"/>
      <c r="L29" s="1376">
        <v>0.28049670378066688</v>
      </c>
      <c r="M29" s="1376">
        <v>0.25370965626472164</v>
      </c>
      <c r="N29" s="1376">
        <v>0.26710318002269429</v>
      </c>
      <c r="P29" s="1380" t="s">
        <v>566</v>
      </c>
      <c r="Q29" s="1373">
        <f>I27*L29</f>
        <v>14582.094704223013</v>
      </c>
      <c r="R29" s="1373">
        <f>J27*M29</f>
        <v>19382.977574598939</v>
      </c>
      <c r="S29" s="879">
        <f t="shared" si="81"/>
        <v>1.5936816106705276E-2</v>
      </c>
      <c r="T29" s="1378"/>
      <c r="U29" s="1373">
        <f t="shared" ref="U29:AM29" si="88">$Q$29*(1+$S$29)^(U5-$Q$5)</f>
        <v>14582.094704223013</v>
      </c>
      <c r="V29" s="1373">
        <f t="shared" si="88"/>
        <v>14814.486865974775</v>
      </c>
      <c r="W29" s="1373">
        <f t="shared" si="88"/>
        <v>15050.582618873015</v>
      </c>
      <c r="X29" s="1373">
        <f t="shared" si="88"/>
        <v>15290.440986368771</v>
      </c>
      <c r="Y29" s="1373">
        <f t="shared" si="88"/>
        <v>15534.121932558957</v>
      </c>
      <c r="Z29" s="1373">
        <f t="shared" si="88"/>
        <v>15781.686377177286</v>
      </c>
      <c r="AA29" s="1373">
        <f t="shared" si="88"/>
        <v>16033.196210824057</v>
      </c>
      <c r="AB29" s="1373">
        <f t="shared" si="88"/>
        <v>16288.714310438681</v>
      </c>
      <c r="AC29" s="1373">
        <f t="shared" si="88"/>
        <v>16548.3045550188</v>
      </c>
      <c r="AD29" s="1373">
        <f t="shared" si="88"/>
        <v>16812.031841589887</v>
      </c>
      <c r="AE29" s="1373">
        <f t="shared" si="88"/>
        <v>17079.962101429377</v>
      </c>
      <c r="AF29" s="1373">
        <f t="shared" si="88"/>
        <v>17352.162316549355</v>
      </c>
      <c r="AG29" s="1373">
        <f t="shared" si="88"/>
        <v>17628.700536441902</v>
      </c>
      <c r="AH29" s="1373">
        <f t="shared" si="88"/>
        <v>17909.645895091355</v>
      </c>
      <c r="AI29" s="1373">
        <f t="shared" si="88"/>
        <v>18195.068628257632</v>
      </c>
      <c r="AJ29" s="1373">
        <f t="shared" si="88"/>
        <v>18485.040091035055</v>
      </c>
      <c r="AK29" s="1373">
        <f t="shared" si="88"/>
        <v>18779.632775690952</v>
      </c>
      <c r="AL29" s="1373">
        <f t="shared" si="88"/>
        <v>19078.920329788591</v>
      </c>
      <c r="AM29" s="1373">
        <f t="shared" si="88"/>
        <v>19382.977574598914</v>
      </c>
      <c r="AN29" s="1373">
        <f t="shared" ref="AN29:AO29" si="89">$Q$29*(1+$S$29)^(AN5-$Q$5)</f>
        <v>19691.880523805692</v>
      </c>
      <c r="AO29" s="1373">
        <f t="shared" si="89"/>
        <v>20005.706402508789</v>
      </c>
    </row>
    <row r="30" spans="2:64" ht="15" x14ac:dyDescent="0.25">
      <c r="B30" s="964"/>
      <c r="C30" s="1375"/>
      <c r="D30" s="1375"/>
      <c r="E30" s="1375"/>
      <c r="F30" s="1379"/>
      <c r="G30" s="575"/>
      <c r="H30" s="864"/>
      <c r="I30" s="864"/>
      <c r="J30" s="864"/>
      <c r="K30" s="575"/>
      <c r="L30" s="1376">
        <v>0.20229106183883472</v>
      </c>
      <c r="M30" s="1376">
        <v>0.2096023850419631</v>
      </c>
      <c r="N30" s="1376">
        <v>0.20594672344039891</v>
      </c>
      <c r="P30" s="1377" t="s">
        <v>563</v>
      </c>
      <c r="Q30" s="1373">
        <f>I26*L30</f>
        <v>471299.3024686806</v>
      </c>
      <c r="R30" s="1373">
        <f>J26*M30</f>
        <v>567368.44329106307</v>
      </c>
      <c r="S30" s="879">
        <f t="shared" si="81"/>
        <v>1.0359713550841532E-2</v>
      </c>
      <c r="T30" s="1378"/>
      <c r="U30" s="1373">
        <f t="shared" ref="U30:AM30" si="90">$Q$30*(1+$S$30)^(U5-$Q$5)</f>
        <v>471299.3024686806</v>
      </c>
      <c r="V30" s="1373">
        <f t="shared" si="90"/>
        <v>476181.82823896757</v>
      </c>
      <c r="W30" s="1373">
        <f t="shared" si="90"/>
        <v>481114.93557763926</v>
      </c>
      <c r="X30" s="1373">
        <f t="shared" si="90"/>
        <v>486099.14849525521</v>
      </c>
      <c r="Y30" s="1373">
        <f t="shared" si="90"/>
        <v>491134.99643097393</v>
      </c>
      <c r="Z30" s="1373">
        <f t="shared" si="90"/>
        <v>496223.01430879242</v>
      </c>
      <c r="AA30" s="1373">
        <f t="shared" si="90"/>
        <v>501363.74259436666</v>
      </c>
      <c r="AB30" s="1373">
        <f t="shared" si="90"/>
        <v>506557.72735242208</v>
      </c>
      <c r="AC30" s="1373">
        <f t="shared" si="90"/>
        <v>511805.52030475839</v>
      </c>
      <c r="AD30" s="1373">
        <f t="shared" si="90"/>
        <v>517107.67888885515</v>
      </c>
      <c r="AE30" s="1373">
        <f t="shared" si="90"/>
        <v>522464.76631708414</v>
      </c>
      <c r="AF30" s="1373">
        <f t="shared" si="90"/>
        <v>527877.35163653642</v>
      </c>
      <c r="AG30" s="1373">
        <f t="shared" si="90"/>
        <v>533346.00978946779</v>
      </c>
      <c r="AH30" s="1373">
        <f t="shared" si="90"/>
        <v>538871.32167437102</v>
      </c>
      <c r="AI30" s="1373">
        <f t="shared" si="90"/>
        <v>544453.87420768093</v>
      </c>
      <c r="AJ30" s="1373">
        <f t="shared" si="90"/>
        <v>550094.26038611832</v>
      </c>
      <c r="AK30" s="1373">
        <f t="shared" si="90"/>
        <v>555793.07934968045</v>
      </c>
      <c r="AL30" s="1373">
        <f t="shared" si="90"/>
        <v>561550.93644528324</v>
      </c>
      <c r="AM30" s="1373">
        <f t="shared" si="90"/>
        <v>567368.44329106319</v>
      </c>
      <c r="AN30" s="1373">
        <f t="shared" ref="AN30:AO30" si="91">$Q$30*(1+$S$30)^(AN5-$Q$5)</f>
        <v>573246.21784134558</v>
      </c>
      <c r="AO30" s="1373">
        <f t="shared" si="91"/>
        <v>579184.88445228513</v>
      </c>
    </row>
    <row r="31" spans="2:64" ht="15" x14ac:dyDescent="0.25">
      <c r="B31" s="964"/>
      <c r="C31" s="1375"/>
      <c r="D31" s="1375"/>
      <c r="E31" s="1375"/>
      <c r="F31" s="1379"/>
      <c r="G31" s="575"/>
      <c r="H31" s="864"/>
      <c r="I31" s="864"/>
      <c r="J31" s="864"/>
      <c r="K31" s="575"/>
      <c r="L31" s="1376">
        <v>0.2023351771122035</v>
      </c>
      <c r="M31" s="1376">
        <v>0.2096019785935474</v>
      </c>
      <c r="N31" s="1376">
        <v>0.20596857785287545</v>
      </c>
      <c r="P31" s="1377" t="s">
        <v>567</v>
      </c>
      <c r="Q31" s="1373">
        <f>I27*L31</f>
        <v>10518.735781483532</v>
      </c>
      <c r="R31" s="1373">
        <f>J27*M31</f>
        <v>16013.227523477659</v>
      </c>
      <c r="S31" s="879">
        <f t="shared" si="81"/>
        <v>2.3622304385998882E-2</v>
      </c>
      <c r="T31" s="1378"/>
      <c r="U31" s="1373">
        <f t="shared" ref="U31:AM31" si="92">$Q$31*(1+$S$31)^(U5-$Q$5)</f>
        <v>10518.735781483532</v>
      </c>
      <c r="V31" s="1373">
        <f t="shared" si="92"/>
        <v>10767.212559869635</v>
      </c>
      <c r="W31" s="1373">
        <f t="shared" si="92"/>
        <v>11021.558932347625</v>
      </c>
      <c r="X31" s="1373">
        <f t="shared" si="92"/>
        <v>11281.913552255766</v>
      </c>
      <c r="Y31" s="1373">
        <f t="shared" si="92"/>
        <v>11548.41834824368</v>
      </c>
      <c r="Z31" s="1373">
        <f t="shared" si="92"/>
        <v>11821.218601642746</v>
      </c>
      <c r="AA31" s="1373">
        <f t="shared" si="92"/>
        <v>12100.463025664185</v>
      </c>
      <c r="AB31" s="1373">
        <f t="shared" si="92"/>
        <v>12386.303846467948</v>
      </c>
      <c r="AC31" s="1373">
        <f t="shared" si="92"/>
        <v>12678.896886146686</v>
      </c>
      <c r="AD31" s="1373">
        <f t="shared" si="92"/>
        <v>12978.401647669934</v>
      </c>
      <c r="AE31" s="1373">
        <f t="shared" si="92"/>
        <v>13284.981401834946</v>
      </c>
      <c r="AF31" s="1373">
        <f t="shared" si="92"/>
        <v>13598.803276271425</v>
      </c>
      <c r="AG31" s="1373">
        <f t="shared" si="92"/>
        <v>13920.038346548828</v>
      </c>
      <c r="AH31" s="1373">
        <f t="shared" si="92"/>
        <v>14248.861729435783</v>
      </c>
      <c r="AI31" s="1373">
        <f t="shared" si="92"/>
        <v>14585.452678362524</v>
      </c>
      <c r="AJ31" s="1373">
        <f t="shared" si="92"/>
        <v>14929.994681138389</v>
      </c>
      <c r="AK31" s="1373">
        <f t="shared" si="92"/>
        <v>15282.675559977588</v>
      </c>
      <c r="AL31" s="1373">
        <f t="shared" si="92"/>
        <v>15643.687573887843</v>
      </c>
      <c r="AM31" s="1373">
        <f t="shared" si="92"/>
        <v>16013.227523477692</v>
      </c>
      <c r="AN31" s="1373">
        <f t="shared" ref="AN31:AO31" si="93">$Q$31*(1+$S$31)^(AN5-$Q$5)</f>
        <v>16391.496858239538</v>
      </c>
      <c r="AO31" s="1373">
        <f t="shared" si="93"/>
        <v>16778.701786367019</v>
      </c>
    </row>
    <row r="32" spans="2:64" ht="15" x14ac:dyDescent="0.25">
      <c r="B32" s="1392"/>
      <c r="C32" s="1375"/>
      <c r="D32" s="1375"/>
      <c r="E32" s="1375"/>
      <c r="F32" s="1379"/>
      <c r="G32" s="575"/>
      <c r="H32" s="1382" t="s">
        <v>564</v>
      </c>
      <c r="I32" s="864">
        <f>E13</f>
        <v>118676.47058823529</v>
      </c>
      <c r="J32" s="864">
        <f>E14</f>
        <v>177049.79785145575</v>
      </c>
      <c r="K32" s="575"/>
      <c r="P32" s="1380" t="s">
        <v>564</v>
      </c>
      <c r="Q32" s="1373">
        <f>I32</f>
        <v>118676.47058823529</v>
      </c>
      <c r="R32" s="1373">
        <f>J32</f>
        <v>177049.79785145575</v>
      </c>
      <c r="S32" s="879">
        <f t="shared" si="81"/>
        <v>2.2472678022279924E-2</v>
      </c>
      <c r="T32" s="1393"/>
      <c r="U32" s="1373">
        <f t="shared" ref="U32:AM32" si="94">$Q$32*(1+$S$32)^(U5-$Q$5)</f>
        <v>118676.47058823529</v>
      </c>
      <c r="V32" s="1373">
        <f t="shared" si="94"/>
        <v>121343.44870058527</v>
      </c>
      <c r="W32" s="1373">
        <f t="shared" si="94"/>
        <v>124070.36095334656</v>
      </c>
      <c r="X32" s="1373">
        <f t="shared" si="94"/>
        <v>126858.55422715917</v>
      </c>
      <c r="Y32" s="1373">
        <f t="shared" si="94"/>
        <v>129709.40567067807</v>
      </c>
      <c r="Z32" s="1373">
        <f t="shared" si="94"/>
        <v>132624.32338077651</v>
      </c>
      <c r="AA32" s="1373">
        <f t="shared" si="94"/>
        <v>135604.74709803541</v>
      </c>
      <c r="AB32" s="1373">
        <f t="shared" si="94"/>
        <v>138652.14891786227</v>
      </c>
      <c r="AC32" s="1373">
        <f t="shared" si="94"/>
        <v>141768.03401759063</v>
      </c>
      <c r="AD32" s="1373">
        <f t="shared" si="94"/>
        <v>144953.94139991957</v>
      </c>
      <c r="AE32" s="1373">
        <f t="shared" si="94"/>
        <v>148211.44465306037</v>
      </c>
      <c r="AF32" s="1373">
        <f t="shared" si="94"/>
        <v>151542.15272796556</v>
      </c>
      <c r="AG32" s="1373">
        <f t="shared" si="94"/>
        <v>154947.71073302435</v>
      </c>
      <c r="AH32" s="1373">
        <f t="shared" si="94"/>
        <v>158429.80074661697</v>
      </c>
      <c r="AI32" s="1373">
        <f t="shared" si="94"/>
        <v>161990.14264792964</v>
      </c>
      <c r="AJ32" s="1373">
        <f t="shared" si="94"/>
        <v>165630.49496643976</v>
      </c>
      <c r="AK32" s="1373">
        <f t="shared" si="94"/>
        <v>169352.65575049145</v>
      </c>
      <c r="AL32" s="1373">
        <f t="shared" si="94"/>
        <v>173158.46345539024</v>
      </c>
      <c r="AM32" s="1373">
        <f t="shared" si="94"/>
        <v>177049.79785145595</v>
      </c>
      <c r="AN32" s="1373">
        <f t="shared" ref="AN32:AO32" si="95">$Q$32*(1+$S$32)^(AN5-$Q$5)</f>
        <v>181028.58095248145</v>
      </c>
      <c r="AO32" s="1373">
        <f t="shared" si="95"/>
        <v>185096.77796505686</v>
      </c>
    </row>
    <row r="33" spans="2:73" ht="25.5" x14ac:dyDescent="0.25">
      <c r="B33" s="964" t="s">
        <v>835</v>
      </c>
      <c r="C33" s="1375">
        <f>VMT.VHT.ADT.Change!C27</f>
        <v>288921.14436237002</v>
      </c>
      <c r="D33" s="1375">
        <f>VMT.VHT.ADT.Change!D27</f>
        <v>-3316.0427939711153</v>
      </c>
      <c r="E33" s="1375">
        <f>VMT.VHT.ADT.Change!F27</f>
        <v>-12531.751673471575</v>
      </c>
      <c r="F33" s="1379">
        <f>VMT.VHT.ADT.Change!G27</f>
        <v>-910.37086158859938</v>
      </c>
      <c r="H33" s="1382" t="s">
        <v>568</v>
      </c>
      <c r="I33" s="864">
        <f>F13</f>
        <v>2639.4345588235296</v>
      </c>
      <c r="J33" s="864">
        <f>F14</f>
        <v>4746.6273938236054</v>
      </c>
      <c r="P33" s="1380" t="s">
        <v>568</v>
      </c>
      <c r="Q33" s="1373">
        <f>I33</f>
        <v>2639.4345588235296</v>
      </c>
      <c r="R33" s="1373">
        <f>J33</f>
        <v>4746.6273938236054</v>
      </c>
      <c r="S33" s="879">
        <f t="shared" si="81"/>
        <v>3.3141198314643461E-2</v>
      </c>
      <c r="T33" s="1394"/>
      <c r="U33" s="1373">
        <f t="shared" ref="U33:AM33" si="96">$Q$33*(1+$S$33)^(U5-$Q$5)</f>
        <v>2639.4345588235296</v>
      </c>
      <c r="V33" s="1373">
        <f t="shared" si="96"/>
        <v>2726.9085829760238</v>
      </c>
      <c r="W33" s="1373">
        <f t="shared" si="96"/>
        <v>2817.281601110335</v>
      </c>
      <c r="X33" s="1373">
        <f t="shared" si="96"/>
        <v>2910.6496893609287</v>
      </c>
      <c r="Y33" s="1373">
        <f t="shared" si="96"/>
        <v>3007.1121079404948</v>
      </c>
      <c r="Z33" s="1373">
        <f t="shared" si="96"/>
        <v>3106.7714066641161</v>
      </c>
      <c r="AA33" s="1373">
        <f t="shared" si="96"/>
        <v>3209.7335339706356</v>
      </c>
      <c r="AB33" s="1373">
        <f t="shared" si="96"/>
        <v>3316.1079495571175</v>
      </c>
      <c r="AC33" s="1373">
        <f t="shared" si="96"/>
        <v>3426.0077407461554</v>
      </c>
      <c r="AD33" s="1373">
        <f t="shared" si="96"/>
        <v>3539.5497427097271</v>
      </c>
      <c r="AE33" s="1373">
        <f t="shared" si="96"/>
        <v>3656.854662677415</v>
      </c>
      <c r="AF33" s="1373">
        <f t="shared" si="96"/>
        <v>3778.0472082610358</v>
      </c>
      <c r="AG33" s="1373">
        <f t="shared" si="96"/>
        <v>3903.2562200320999</v>
      </c>
      <c r="AH33" s="1373">
        <f t="shared" si="96"/>
        <v>4032.6148084930492</v>
      </c>
      <c r="AI33" s="1373">
        <f t="shared" si="96"/>
        <v>4166.2604955878851</v>
      </c>
      <c r="AJ33" s="1373">
        <f t="shared" si="96"/>
        <v>4304.3353609026271</v>
      </c>
      <c r="AK33" s="1373">
        <f t="shared" si="96"/>
        <v>4446.9861927110333</v>
      </c>
      <c r="AL33" s="1373">
        <f t="shared" si="96"/>
        <v>4594.3646440261518</v>
      </c>
      <c r="AM33" s="1373">
        <f t="shared" si="96"/>
        <v>4746.6273938236081</v>
      </c>
      <c r="AN33" s="1373">
        <f t="shared" ref="AN33:AO33" si="97">$Q$33*(1+$S$33)^(AN5-$Q$5)</f>
        <v>4903.9363136080347</v>
      </c>
      <c r="AO33" s="1373">
        <f t="shared" si="97"/>
        <v>5066.4586394997004</v>
      </c>
    </row>
    <row r="34" spans="2:73" ht="26.25" thickBot="1" x14ac:dyDescent="0.3">
      <c r="B34" s="1386" t="s">
        <v>836</v>
      </c>
      <c r="C34" s="1387">
        <f>VMT.VHT.ADT.Change!C28</f>
        <v>427640.05399584072</v>
      </c>
      <c r="D34" s="1387">
        <f>VMT.VHT.ADT.Change!D28</f>
        <v>-32410.853722283617</v>
      </c>
      <c r="E34" s="1387">
        <f>VMT.VHT.ADT.Change!F28</f>
        <v>30939.87915923947</v>
      </c>
      <c r="F34" s="1388">
        <f>VMT.VHT.ADT.Change!G28</f>
        <v>-2487.4516920660108</v>
      </c>
      <c r="P34" s="574"/>
    </row>
    <row r="35" spans="2:73" s="253" customFormat="1" ht="15" x14ac:dyDescent="0.25">
      <c r="H35" s="574"/>
      <c r="I35" s="574"/>
      <c r="J35" s="574"/>
      <c r="K35" s="574"/>
      <c r="L35" s="574"/>
      <c r="M35" s="574"/>
      <c r="N35" s="574"/>
      <c r="O35" s="574"/>
      <c r="P35" s="574"/>
      <c r="Q35" s="574"/>
      <c r="R35" s="574"/>
      <c r="S35" s="574"/>
      <c r="T35" s="574"/>
      <c r="U35" s="574"/>
      <c r="V35" s="574"/>
      <c r="W35" s="574"/>
      <c r="X35" s="574"/>
      <c r="Y35" s="574"/>
      <c r="Z35" s="574"/>
      <c r="AA35" s="574"/>
      <c r="AB35" s="574"/>
      <c r="AC35" s="574"/>
      <c r="AD35" s="574"/>
      <c r="AE35" s="574"/>
      <c r="AF35" s="574"/>
      <c r="AG35" s="574"/>
      <c r="AH35" s="574"/>
      <c r="AI35" s="574"/>
      <c r="AJ35" s="574"/>
      <c r="AK35" s="574"/>
      <c r="AL35" s="574"/>
      <c r="AM35" s="574"/>
      <c r="AN35" s="574"/>
      <c r="AO35" s="574"/>
      <c r="AQ35" s="574"/>
      <c r="AR35" s="574"/>
      <c r="AS35" s="574"/>
      <c r="AT35" s="574"/>
      <c r="AU35" s="574"/>
      <c r="AV35" s="574"/>
      <c r="AW35" s="574"/>
      <c r="AX35" s="574"/>
      <c r="AY35" s="574"/>
      <c r="AZ35" s="574"/>
      <c r="BA35" s="574"/>
      <c r="BB35" s="574"/>
      <c r="BC35" s="574"/>
      <c r="BD35" s="574"/>
      <c r="BE35" s="574"/>
      <c r="BF35" s="574"/>
      <c r="BG35" s="574"/>
      <c r="BH35" s="574"/>
      <c r="BI35" s="574"/>
      <c r="BJ35" s="574"/>
      <c r="BK35" s="574"/>
      <c r="BL35" s="574"/>
      <c r="BM35" s="574"/>
      <c r="BN35" s="574"/>
      <c r="BO35" s="574"/>
      <c r="BP35" s="574"/>
      <c r="BQ35" s="574"/>
      <c r="BR35" s="574"/>
      <c r="BS35" s="574"/>
      <c r="BT35" s="574"/>
      <c r="BU35" s="574"/>
    </row>
    <row r="36" spans="2:73" ht="15" x14ac:dyDescent="0.25">
      <c r="T36" s="1383"/>
    </row>
    <row r="37" spans="2:73" ht="21" x14ac:dyDescent="0.35">
      <c r="P37" s="1395" t="s">
        <v>846</v>
      </c>
      <c r="Q37" s="1383"/>
      <c r="R37" s="1383"/>
      <c r="S37" s="1383"/>
      <c r="T37" s="1383"/>
      <c r="U37" s="1383"/>
      <c r="V37" s="1383"/>
      <c r="W37" s="1383"/>
      <c r="X37" s="1383"/>
      <c r="Y37" s="1383"/>
      <c r="Z37" s="1383"/>
      <c r="AA37" s="1383"/>
      <c r="AB37" s="1383"/>
      <c r="AC37" s="1383"/>
      <c r="AD37" s="1383"/>
      <c r="AE37" s="1383"/>
      <c r="AF37" s="1383"/>
      <c r="AG37" s="1383"/>
      <c r="AH37" s="1383"/>
      <c r="AI37" s="1383"/>
      <c r="AJ37" s="1383"/>
      <c r="AK37" s="1383"/>
      <c r="AL37" s="1383"/>
      <c r="AM37" s="1383"/>
      <c r="AN37" s="1383"/>
      <c r="AO37" s="1383"/>
    </row>
    <row r="38" spans="2:73" ht="15" x14ac:dyDescent="0.25">
      <c r="T38" s="1383"/>
    </row>
    <row r="39" spans="2:73" ht="42" x14ac:dyDescent="0.35">
      <c r="P39" s="861" t="s">
        <v>847</v>
      </c>
      <c r="T39" s="1383"/>
      <c r="AQ39" s="1910" t="s">
        <v>637</v>
      </c>
      <c r="AR39" s="1910"/>
      <c r="AS39" s="1910"/>
      <c r="AT39" s="1910"/>
      <c r="AU39" s="1910"/>
      <c r="AV39" s="1910"/>
      <c r="AW39" s="1910"/>
      <c r="AX39" s="1910"/>
      <c r="AY39" s="1910"/>
      <c r="AZ39" s="1910"/>
      <c r="BA39" s="1910"/>
      <c r="BB39" s="1910"/>
      <c r="BC39" s="1910"/>
      <c r="BD39" s="1910"/>
      <c r="BE39" s="1910"/>
      <c r="BF39" s="1910"/>
      <c r="BG39" s="1910"/>
      <c r="BH39" s="1910"/>
      <c r="BI39" s="1910"/>
      <c r="BJ39" s="1403"/>
      <c r="BK39" s="1403"/>
    </row>
    <row r="40" spans="2:73" ht="15.75" x14ac:dyDescent="0.25">
      <c r="P40" s="1371" t="s">
        <v>0</v>
      </c>
      <c r="Q40" s="1370">
        <v>2023</v>
      </c>
      <c r="R40" s="1370">
        <v>2041</v>
      </c>
      <c r="S40" s="1370" t="s">
        <v>211</v>
      </c>
      <c r="T40" s="1372"/>
      <c r="U40" s="1370">
        <f>2023</f>
        <v>2023</v>
      </c>
      <c r="V40" s="1370">
        <f>U40+1</f>
        <v>2024</v>
      </c>
      <c r="W40" s="1370">
        <f t="shared" ref="W40:AL40" si="98">V40+1</f>
        <v>2025</v>
      </c>
      <c r="X40" s="1370">
        <f t="shared" si="98"/>
        <v>2026</v>
      </c>
      <c r="Y40" s="1370">
        <f t="shared" si="98"/>
        <v>2027</v>
      </c>
      <c r="Z40" s="1370">
        <f t="shared" si="98"/>
        <v>2028</v>
      </c>
      <c r="AA40" s="1370">
        <f t="shared" si="98"/>
        <v>2029</v>
      </c>
      <c r="AB40" s="1370">
        <f t="shared" si="98"/>
        <v>2030</v>
      </c>
      <c r="AC40" s="1370">
        <f t="shared" si="98"/>
        <v>2031</v>
      </c>
      <c r="AD40" s="1370">
        <f t="shared" si="98"/>
        <v>2032</v>
      </c>
      <c r="AE40" s="1370">
        <f t="shared" si="98"/>
        <v>2033</v>
      </c>
      <c r="AF40" s="1370">
        <f t="shared" si="98"/>
        <v>2034</v>
      </c>
      <c r="AG40" s="1370">
        <f t="shared" si="98"/>
        <v>2035</v>
      </c>
      <c r="AH40" s="1370">
        <f t="shared" si="98"/>
        <v>2036</v>
      </c>
      <c r="AI40" s="1370">
        <f t="shared" si="98"/>
        <v>2037</v>
      </c>
      <c r="AJ40" s="1370">
        <f t="shared" si="98"/>
        <v>2038</v>
      </c>
      <c r="AK40" s="1370">
        <f t="shared" si="98"/>
        <v>2039</v>
      </c>
      <c r="AL40" s="1370">
        <f t="shared" si="98"/>
        <v>2040</v>
      </c>
      <c r="AM40" s="1370">
        <f t="shared" ref="AM40" si="99">AL40+1</f>
        <v>2041</v>
      </c>
      <c r="AN40" s="1370">
        <f t="shared" ref="AN40" si="100">AM40+1</f>
        <v>2042</v>
      </c>
      <c r="AO40" s="1370">
        <f t="shared" ref="AO40" si="101">AN40+1</f>
        <v>2043</v>
      </c>
      <c r="AQ40" s="1370">
        <f>2023</f>
        <v>2023</v>
      </c>
      <c r="AR40" s="1370">
        <f>AQ40+1</f>
        <v>2024</v>
      </c>
      <c r="AS40" s="1370">
        <f t="shared" ref="AS40:BI40" si="102">AR40+1</f>
        <v>2025</v>
      </c>
      <c r="AT40" s="1370">
        <f t="shared" si="102"/>
        <v>2026</v>
      </c>
      <c r="AU40" s="1370">
        <f t="shared" si="102"/>
        <v>2027</v>
      </c>
      <c r="AV40" s="1370">
        <f t="shared" si="102"/>
        <v>2028</v>
      </c>
      <c r="AW40" s="1370">
        <f t="shared" si="102"/>
        <v>2029</v>
      </c>
      <c r="AX40" s="1370">
        <f t="shared" si="102"/>
        <v>2030</v>
      </c>
      <c r="AY40" s="1370">
        <f t="shared" si="102"/>
        <v>2031</v>
      </c>
      <c r="AZ40" s="1370">
        <f t="shared" si="102"/>
        <v>2032</v>
      </c>
      <c r="BA40" s="1370">
        <f t="shared" si="102"/>
        <v>2033</v>
      </c>
      <c r="BB40" s="1370">
        <f t="shared" si="102"/>
        <v>2034</v>
      </c>
      <c r="BC40" s="1370">
        <f t="shared" si="102"/>
        <v>2035</v>
      </c>
      <c r="BD40" s="1370">
        <f t="shared" si="102"/>
        <v>2036</v>
      </c>
      <c r="BE40" s="1370">
        <f t="shared" si="102"/>
        <v>2037</v>
      </c>
      <c r="BF40" s="1370">
        <f t="shared" si="102"/>
        <v>2038</v>
      </c>
      <c r="BG40" s="1370">
        <f t="shared" si="102"/>
        <v>2039</v>
      </c>
      <c r="BH40" s="1370">
        <f t="shared" si="102"/>
        <v>2040</v>
      </c>
      <c r="BI40" s="1370">
        <f t="shared" si="102"/>
        <v>2041</v>
      </c>
      <c r="BJ40" s="1370">
        <f t="shared" ref="BJ40" si="103">BI40+1</f>
        <v>2042</v>
      </c>
      <c r="BK40" s="1370">
        <f t="shared" ref="BK40" si="104">BJ40+1</f>
        <v>2043</v>
      </c>
    </row>
    <row r="41" spans="2:73" ht="15" x14ac:dyDescent="0.25">
      <c r="P41" s="1377" t="s">
        <v>561</v>
      </c>
      <c r="Q41" s="1373">
        <f t="shared" ref="Q41:R48" si="105">Q16-Q6</f>
        <v>148662.55903117068</v>
      </c>
      <c r="R41" s="1373">
        <f t="shared" si="105"/>
        <v>229341.00456396444</v>
      </c>
      <c r="S41" s="879"/>
      <c r="T41" s="1378"/>
      <c r="U41" s="1373">
        <f t="shared" ref="U41:AO41" si="106">U16-U6</f>
        <v>148662.55903117068</v>
      </c>
      <c r="V41" s="1373">
        <f t="shared" si="106"/>
        <v>152583.84961327701</v>
      </c>
      <c r="W41" s="1373">
        <f t="shared" si="106"/>
        <v>156566.5450669264</v>
      </c>
      <c r="X41" s="1373">
        <f t="shared" si="106"/>
        <v>160611.46437501279</v>
      </c>
      <c r="Y41" s="1373">
        <f t="shared" si="106"/>
        <v>164719.43662880454</v>
      </c>
      <c r="Z41" s="1373">
        <f t="shared" si="106"/>
        <v>168891.30114724534</v>
      </c>
      <c r="AA41" s="1373">
        <f t="shared" si="106"/>
        <v>173127.90759761562</v>
      </c>
      <c r="AB41" s="1373">
        <f t="shared" si="106"/>
        <v>177430.11611758522</v>
      </c>
      <c r="AC41" s="1373">
        <f t="shared" si="106"/>
        <v>181798.79743865901</v>
      </c>
      <c r="AD41" s="1373">
        <f t="shared" si="106"/>
        <v>186234.83301104326</v>
      </c>
      <c r="AE41" s="1373">
        <f t="shared" si="106"/>
        <v>190739.11512993788</v>
      </c>
      <c r="AF41" s="1373">
        <f t="shared" si="106"/>
        <v>195312.5470632792</v>
      </c>
      <c r="AG41" s="1373">
        <f t="shared" si="106"/>
        <v>199956.04318094254</v>
      </c>
      <c r="AH41" s="1373">
        <f t="shared" si="106"/>
        <v>204670.52908542939</v>
      </c>
      <c r="AI41" s="1373">
        <f t="shared" si="106"/>
        <v>209456.94174404559</v>
      </c>
      <c r="AJ41" s="1373">
        <f t="shared" si="106"/>
        <v>214316.22962259804</v>
      </c>
      <c r="AK41" s="1373">
        <f t="shared" si="106"/>
        <v>219249.35282061412</v>
      </c>
      <c r="AL41" s="1373">
        <f t="shared" si="106"/>
        <v>224257.28320811782</v>
      </c>
      <c r="AM41" s="1373">
        <f t="shared" si="106"/>
        <v>229341.00456396327</v>
      </c>
      <c r="AN41" s="1373">
        <f t="shared" si="106"/>
        <v>234501.51271575247</v>
      </c>
      <c r="AO41" s="1373">
        <f t="shared" si="106"/>
        <v>239739.81568135531</v>
      </c>
      <c r="AQ41" s="1373">
        <f t="shared" ref="AQ41:BK41" si="107">U7*315</f>
        <v>8454311.3437231276</v>
      </c>
      <c r="AR41" s="1373">
        <f t="shared" si="107"/>
        <v>8797585.2005785722</v>
      </c>
      <c r="AS41" s="1373">
        <f t="shared" si="107"/>
        <v>9154797.1460623574</v>
      </c>
      <c r="AT41" s="1373">
        <f t="shared" si="107"/>
        <v>9526513.1140804105</v>
      </c>
      <c r="AU41" s="1373">
        <f t="shared" si="107"/>
        <v>9913322.0173842013</v>
      </c>
      <c r="AV41" s="1373">
        <f t="shared" si="107"/>
        <v>10315836.680590212</v>
      </c>
      <c r="AW41" s="1373">
        <f t="shared" si="107"/>
        <v>10734694.811083145</v>
      </c>
      <c r="AX41" s="1373">
        <f t="shared" si="107"/>
        <v>11170560.009341132</v>
      </c>
      <c r="AY41" s="1373">
        <f t="shared" si="107"/>
        <v>11624122.820283584</v>
      </c>
      <c r="AZ41" s="1373">
        <f t="shared" si="107"/>
        <v>12096101.827307342</v>
      </c>
      <c r="BA41" s="1373">
        <f t="shared" si="107"/>
        <v>12587244.790744431</v>
      </c>
      <c r="BB41" s="1373">
        <f t="shared" si="107"/>
        <v>13098329.832545079</v>
      </c>
      <c r="BC41" s="1373">
        <f t="shared" si="107"/>
        <v>13630166.669062907</v>
      </c>
      <c r="BD41" s="1373">
        <f t="shared" si="107"/>
        <v>14183597.893895378</v>
      </c>
      <c r="BE41" s="1373">
        <f t="shared" si="107"/>
        <v>14759500.312811982</v>
      </c>
      <c r="BF41" s="1373">
        <f t="shared" si="107"/>
        <v>15358786.33288501</v>
      </c>
      <c r="BG41" s="1373">
        <f t="shared" si="107"/>
        <v>15982405.408023814</v>
      </c>
      <c r="BH41" s="1373">
        <f t="shared" si="107"/>
        <v>16631345.54320265</v>
      </c>
      <c r="BI41" s="1373">
        <f t="shared" si="107"/>
        <v>17306634.859765317</v>
      </c>
      <c r="BJ41" s="1373">
        <f t="shared" si="107"/>
        <v>18009343.224286493</v>
      </c>
      <c r="BK41" s="1373">
        <f t="shared" si="107"/>
        <v>18740583.943570413</v>
      </c>
    </row>
    <row r="42" spans="2:73" ht="15" x14ac:dyDescent="0.25">
      <c r="P42" s="1377" t="s">
        <v>565</v>
      </c>
      <c r="Q42" s="1373">
        <f t="shared" si="105"/>
        <v>-1721.0696453942437</v>
      </c>
      <c r="R42" s="1373">
        <f t="shared" si="105"/>
        <v>-17396.533789332992</v>
      </c>
      <c r="S42" s="879"/>
      <c r="T42" s="1378"/>
      <c r="U42" s="1373">
        <f t="shared" ref="U42:AO42" si="108">U17-U7</f>
        <v>-1721.0696453942437</v>
      </c>
      <c r="V42" s="1373">
        <f t="shared" si="108"/>
        <v>-2243.6059582443158</v>
      </c>
      <c r="W42" s="1373">
        <f t="shared" si="108"/>
        <v>-2797.5810077135829</v>
      </c>
      <c r="X42" s="1373">
        <f t="shared" si="108"/>
        <v>-3384.5021492847882</v>
      </c>
      <c r="Y42" s="1373">
        <f t="shared" si="108"/>
        <v>-4005.9431550050322</v>
      </c>
      <c r="Z42" s="1373">
        <f t="shared" si="108"/>
        <v>-4663.5470279414403</v>
      </c>
      <c r="AA42" s="1373">
        <f t="shared" si="108"/>
        <v>-5359.0289335716225</v>
      </c>
      <c r="AB42" s="1373">
        <f t="shared" si="108"/>
        <v>-6094.1792529168961</v>
      </c>
      <c r="AC42" s="1373">
        <f t="shared" si="108"/>
        <v>-6870.8667624229274</v>
      </c>
      <c r="AD42" s="1373">
        <f t="shared" si="108"/>
        <v>-7691.041945796751</v>
      </c>
      <c r="AE42" s="1373">
        <f t="shared" si="108"/>
        <v>-8556.7404432224721</v>
      </c>
      <c r="AF42" s="1373">
        <f t="shared" si="108"/>
        <v>-9470.0866435991265</v>
      </c>
      <c r="AG42" s="1373">
        <f t="shared" si="108"/>
        <v>-10433.297425675191</v>
      </c>
      <c r="AH42" s="1373">
        <f t="shared" si="108"/>
        <v>-11448.686054193829</v>
      </c>
      <c r="AI42" s="1373">
        <f t="shared" si="108"/>
        <v>-12518.666237413425</v>
      </c>
      <c r="AJ42" s="1373">
        <f t="shared" si="108"/>
        <v>-13645.756352627133</v>
      </c>
      <c r="AK42" s="1373">
        <f t="shared" si="108"/>
        <v>-14832.58384657649</v>
      </c>
      <c r="AL42" s="1373">
        <f t="shared" si="108"/>
        <v>-16081.889817935276</v>
      </c>
      <c r="AM42" s="1373">
        <f t="shared" si="108"/>
        <v>-17396.533789333022</v>
      </c>
      <c r="AN42" s="1373">
        <f t="shared" si="108"/>
        <v>-18779.49867669279</v>
      </c>
      <c r="AO42" s="1373">
        <f t="shared" si="108"/>
        <v>-20233.895963974886</v>
      </c>
      <c r="AQ42" s="1373">
        <f t="shared" ref="AQ42:BK42" si="109">U9*315</f>
        <v>4583222.1375105102</v>
      </c>
      <c r="AR42" s="1373">
        <f t="shared" si="109"/>
        <v>4733143.2525839452</v>
      </c>
      <c r="AS42" s="1373">
        <f t="shared" si="109"/>
        <v>4887968.4155238168</v>
      </c>
      <c r="AT42" s="1373">
        <f t="shared" si="109"/>
        <v>5047858.0419291193</v>
      </c>
      <c r="AU42" s="1373">
        <f t="shared" si="109"/>
        <v>5212977.7947302526</v>
      </c>
      <c r="AV42" s="1373">
        <f t="shared" si="109"/>
        <v>5383498.7558337282</v>
      </c>
      <c r="AW42" s="1373">
        <f t="shared" si="109"/>
        <v>5559597.6033815024</v>
      </c>
      <c r="AX42" s="1373">
        <f t="shared" si="109"/>
        <v>5741456.7948086252</v>
      </c>
      <c r="AY42" s="1373">
        <f t="shared" si="109"/>
        <v>5929264.7558888635</v>
      </c>
      <c r="AZ42" s="1373">
        <f t="shared" si="109"/>
        <v>6123216.0759641584</v>
      </c>
      <c r="BA42" s="1373">
        <f t="shared" si="109"/>
        <v>6323511.7095602127</v>
      </c>
      <c r="BB42" s="1373">
        <f t="shared" si="109"/>
        <v>6530359.1845970955</v>
      </c>
      <c r="BC42" s="1373">
        <f t="shared" si="109"/>
        <v>6743972.8174105892</v>
      </c>
      <c r="BD42" s="1373">
        <f t="shared" si="109"/>
        <v>6964573.9348070761</v>
      </c>
      <c r="BE42" s="1373">
        <f t="shared" si="109"/>
        <v>7192391.103382024</v>
      </c>
      <c r="BF42" s="1373">
        <f t="shared" si="109"/>
        <v>7427660.3663396742</v>
      </c>
      <c r="BG42" s="1373">
        <f t="shared" si="109"/>
        <v>7670625.4880593168</v>
      </c>
      <c r="BH42" s="1373">
        <f t="shared" si="109"/>
        <v>7921538.2066615205</v>
      </c>
      <c r="BI42" s="1373">
        <f t="shared" si="109"/>
        <v>8180658.4948360296</v>
      </c>
      <c r="BJ42" s="1373">
        <f t="shared" si="109"/>
        <v>8448254.8292015679</v>
      </c>
      <c r="BK42" s="1373">
        <f t="shared" si="109"/>
        <v>8724604.4684766121</v>
      </c>
    </row>
    <row r="43" spans="2:73" ht="15" x14ac:dyDescent="0.25">
      <c r="P43" s="1380" t="s">
        <v>562</v>
      </c>
      <c r="Q43" s="1373">
        <f t="shared" si="105"/>
        <v>82056.729294408229</v>
      </c>
      <c r="R43" s="1373">
        <f t="shared" si="105"/>
        <v>108662.11520682718</v>
      </c>
      <c r="S43" s="879"/>
      <c r="T43" s="1378"/>
      <c r="U43" s="1373">
        <f t="shared" ref="U43:AO43" si="110">U18-U8</f>
        <v>82056.729294408229</v>
      </c>
      <c r="V43" s="1373">
        <f t="shared" si="110"/>
        <v>83490.732383777038</v>
      </c>
      <c r="W43" s="1373">
        <f t="shared" si="110"/>
        <v>84929.8368058739</v>
      </c>
      <c r="X43" s="1373">
        <f t="shared" si="110"/>
        <v>86374.058106508921</v>
      </c>
      <c r="Y43" s="1373">
        <f t="shared" si="110"/>
        <v>87823.411877200124</v>
      </c>
      <c r="Z43" s="1373">
        <f t="shared" si="110"/>
        <v>89277.913755307556</v>
      </c>
      <c r="AA43" s="1373">
        <f t="shared" si="110"/>
        <v>90737.579424165771</v>
      </c>
      <c r="AB43" s="1373">
        <f t="shared" si="110"/>
        <v>92202.424613218522</v>
      </c>
      <c r="AC43" s="1373">
        <f t="shared" si="110"/>
        <v>93672.465098152403</v>
      </c>
      <c r="AD43" s="1373">
        <f t="shared" si="110"/>
        <v>95147.716701032477</v>
      </c>
      <c r="AE43" s="1373">
        <f t="shared" si="110"/>
        <v>96628.19529043627</v>
      </c>
      <c r="AF43" s="1373">
        <f t="shared" si="110"/>
        <v>98113.916781590553</v>
      </c>
      <c r="AG43" s="1373">
        <f t="shared" si="110"/>
        <v>99604.89713650546</v>
      </c>
      <c r="AH43" s="1373">
        <f t="shared" si="110"/>
        <v>101101.15236411244</v>
      </c>
      <c r="AI43" s="1373">
        <f t="shared" si="110"/>
        <v>102602.69852040056</v>
      </c>
      <c r="AJ43" s="1373">
        <f t="shared" si="110"/>
        <v>104109.55170855229</v>
      </c>
      <c r="AK43" s="1373">
        <f t="shared" si="110"/>
        <v>105621.72807908279</v>
      </c>
      <c r="AL43" s="1373">
        <f t="shared" si="110"/>
        <v>107139.24382997677</v>
      </c>
      <c r="AM43" s="1373">
        <f t="shared" si="110"/>
        <v>108662.11520682648</v>
      </c>
      <c r="AN43" s="1373">
        <f t="shared" si="110"/>
        <v>110190.35850297182</v>
      </c>
      <c r="AO43" s="1373">
        <f t="shared" si="110"/>
        <v>111723.99005963723</v>
      </c>
      <c r="AQ43" s="1373">
        <f t="shared" ref="AQ43:BK43" si="111">U11*265</f>
        <v>2782560.6125391289</v>
      </c>
      <c r="AR43" s="1373">
        <f t="shared" si="111"/>
        <v>2895256.4460825352</v>
      </c>
      <c r="AS43" s="1373">
        <f t="shared" si="111"/>
        <v>3012516.5470998683</v>
      </c>
      <c r="AT43" s="1373">
        <f t="shared" si="111"/>
        <v>3134525.7719156127</v>
      </c>
      <c r="AU43" s="1373">
        <f t="shared" si="111"/>
        <v>3261476.4636768154</v>
      </c>
      <c r="AV43" s="1373">
        <f t="shared" si="111"/>
        <v>3393568.755575126</v>
      </c>
      <c r="AW43" s="1373">
        <f t="shared" si="111"/>
        <v>3531010.8863495621</v>
      </c>
      <c r="AX43" s="1373">
        <f t="shared" si="111"/>
        <v>3674019.5285673812</v>
      </c>
      <c r="AY43" s="1373">
        <f t="shared" si="111"/>
        <v>3822820.1302005765</v>
      </c>
      <c r="AZ43" s="1373">
        <f t="shared" si="111"/>
        <v>3977647.2700364771</v>
      </c>
      <c r="BA43" s="1373">
        <f t="shared" si="111"/>
        <v>4138745.027482762</v>
      </c>
      <c r="BB43" s="1373">
        <f t="shared" si="111"/>
        <v>4306367.3673498463</v>
      </c>
      <c r="BC43" s="1373">
        <f t="shared" si="111"/>
        <v>4480778.540217259</v>
      </c>
      <c r="BD43" s="1373">
        <f t="shared" si="111"/>
        <v>4662253.4990151562</v>
      </c>
      <c r="BE43" s="1373">
        <f t="shared" si="111"/>
        <v>4851078.3324777139</v>
      </c>
      <c r="BF43" s="1373">
        <f t="shared" si="111"/>
        <v>5047550.7161517069</v>
      </c>
      <c r="BG43" s="1373">
        <f t="shared" si="111"/>
        <v>5251980.381671289</v>
      </c>
      <c r="BH43" s="1373">
        <f t="shared" si="111"/>
        <v>5464689.6050387416</v>
      </c>
      <c r="BI43" s="1373">
        <f t="shared" si="111"/>
        <v>5686013.7146809958</v>
      </c>
      <c r="BJ43" s="1373">
        <f t="shared" si="111"/>
        <v>5916301.6200828049</v>
      </c>
      <c r="BK43" s="1373">
        <f t="shared" si="111"/>
        <v>6155916.3618299849</v>
      </c>
    </row>
    <row r="44" spans="2:73" ht="15" x14ac:dyDescent="0.25">
      <c r="P44" s="1380" t="s">
        <v>566</v>
      </c>
      <c r="Q44" s="1373">
        <f t="shared" si="105"/>
        <v>-921.93119557003592</v>
      </c>
      <c r="R44" s="1373">
        <f t="shared" si="105"/>
        <v>-8220.9734066732126</v>
      </c>
      <c r="S44" s="879"/>
      <c r="T44" s="1378"/>
      <c r="U44" s="1373">
        <f t="shared" ref="U44:AO44" si="112">U19-U9</f>
        <v>-921.93119557003592</v>
      </c>
      <c r="V44" s="1373">
        <f t="shared" si="112"/>
        <v>-1196.3483564775779</v>
      </c>
      <c r="W44" s="1373">
        <f t="shared" si="112"/>
        <v>-1483.3539165218335</v>
      </c>
      <c r="X44" s="1373">
        <f t="shared" si="112"/>
        <v>-1783.4130649130293</v>
      </c>
      <c r="Y44" s="1373">
        <f t="shared" si="112"/>
        <v>-2097.0069974234357</v>
      </c>
      <c r="Z44" s="1373">
        <f t="shared" si="112"/>
        <v>-2424.6334516551797</v>
      </c>
      <c r="AA44" s="1373">
        <f t="shared" si="112"/>
        <v>-2766.8072599898569</v>
      </c>
      <c r="AB44" s="1373">
        <f t="shared" si="112"/>
        <v>-3124.0609208008318</v>
      </c>
      <c r="AC44" s="1373">
        <f t="shared" si="112"/>
        <v>-3496.9451885282706</v>
      </c>
      <c r="AD44" s="1373">
        <f t="shared" si="112"/>
        <v>-3886.0296832364802</v>
      </c>
      <c r="AE44" s="1373">
        <f t="shared" si="112"/>
        <v>-4291.9035202935829</v>
      </c>
      <c r="AF44" s="1373">
        <f t="shared" si="112"/>
        <v>-4715.1759608343782</v>
      </c>
      <c r="AG44" s="1373">
        <f t="shared" si="112"/>
        <v>-5156.4770836890439</v>
      </c>
      <c r="AH44" s="1373">
        <f t="shared" si="112"/>
        <v>-5616.4584794825641</v>
      </c>
      <c r="AI44" s="1373">
        <f t="shared" si="112"/>
        <v>-6095.793967633017</v>
      </c>
      <c r="AJ44" s="1373">
        <f t="shared" si="112"/>
        <v>-6595.1803370005437</v>
      </c>
      <c r="AK44" s="1373">
        <f t="shared" si="112"/>
        <v>-7115.3381109636539</v>
      </c>
      <c r="AL44" s="1373">
        <f t="shared" si="112"/>
        <v>-7657.0123377247437</v>
      </c>
      <c r="AM44" s="1373">
        <f t="shared" si="112"/>
        <v>-8220.9734066732017</v>
      </c>
      <c r="AN44" s="1373">
        <f t="shared" si="112"/>
        <v>-8808.0178916614677</v>
      </c>
      <c r="AO44" s="1373">
        <f t="shared" si="112"/>
        <v>-9418.96942207744</v>
      </c>
      <c r="AQ44" s="1373">
        <f t="shared" ref="AQ44:BK44" si="113">U13*365</f>
        <v>1229752.7639351764</v>
      </c>
      <c r="AR44" s="1373">
        <f t="shared" si="113"/>
        <v>1279081.0264611747</v>
      </c>
      <c r="AS44" s="1373">
        <f t="shared" si="113"/>
        <v>1330387.9610871221</v>
      </c>
      <c r="AT44" s="1373">
        <f t="shared" si="113"/>
        <v>1383752.936983523</v>
      </c>
      <c r="AU44" s="1373">
        <f t="shared" si="113"/>
        <v>1439258.5070041344</v>
      </c>
      <c r="AV44" s="1373">
        <f t="shared" si="113"/>
        <v>1496990.5353909545</v>
      </c>
      <c r="AW44" s="1373">
        <f t="shared" si="113"/>
        <v>1557038.3306017588</v>
      </c>
      <c r="AX44" s="1373">
        <f t="shared" si="113"/>
        <v>1619494.7834656565</v>
      </c>
      <c r="AY44" s="1373">
        <f t="shared" si="113"/>
        <v>1684456.5108803955</v>
      </c>
      <c r="AZ44" s="1373">
        <f t="shared" si="113"/>
        <v>1752024.0052736956</v>
      </c>
      <c r="BA44" s="1373">
        <f t="shared" si="113"/>
        <v>1822301.7900598312</v>
      </c>
      <c r="BB44" s="1373">
        <f t="shared" si="113"/>
        <v>1895398.5813319392</v>
      </c>
      <c r="BC44" s="1373">
        <f t="shared" si="113"/>
        <v>1971427.4560401854</v>
      </c>
      <c r="BD44" s="1373">
        <f t="shared" si="113"/>
        <v>2050506.0269159463</v>
      </c>
      <c r="BE44" s="1373">
        <f t="shared" si="113"/>
        <v>2132756.6244126181</v>
      </c>
      <c r="BF44" s="1373">
        <f t="shared" si="113"/>
        <v>2218306.4859444867</v>
      </c>
      <c r="BG44" s="1373">
        <f t="shared" si="113"/>
        <v>2307287.9527164232</v>
      </c>
      <c r="BH44" s="1373">
        <f t="shared" si="113"/>
        <v>2399838.6744488673</v>
      </c>
      <c r="BI44" s="1373">
        <f t="shared" si="113"/>
        <v>2496101.8223148207</v>
      </c>
      <c r="BJ44" s="1373">
        <f t="shared" si="113"/>
        <v>2596226.3104182351</v>
      </c>
      <c r="BK44" s="1373">
        <f t="shared" si="113"/>
        <v>2700367.0261564157</v>
      </c>
    </row>
    <row r="45" spans="2:73" ht="15" x14ac:dyDescent="0.25">
      <c r="P45" s="1377" t="s">
        <v>563</v>
      </c>
      <c r="Q45" s="1373">
        <f t="shared" si="105"/>
        <v>58201.856036791578</v>
      </c>
      <c r="R45" s="1373">
        <f t="shared" si="105"/>
        <v>89636.934225049336</v>
      </c>
      <c r="S45" s="879"/>
      <c r="T45" s="1378"/>
      <c r="U45" s="1373">
        <f t="shared" ref="U45:AO45" si="114">U20-U10</f>
        <v>58201.856036791578</v>
      </c>
      <c r="V45" s="1373">
        <f t="shared" si="114"/>
        <v>59731.555826257856</v>
      </c>
      <c r="W45" s="1373">
        <f t="shared" si="114"/>
        <v>61284.997169508075</v>
      </c>
      <c r="X45" s="1373">
        <f t="shared" si="114"/>
        <v>62862.493672703044</v>
      </c>
      <c r="Y45" s="1373">
        <f t="shared" si="114"/>
        <v>64464.362774764362</v>
      </c>
      <c r="Z45" s="1373">
        <f t="shared" si="114"/>
        <v>66090.925792163645</v>
      </c>
      <c r="AA45" s="1373">
        <f t="shared" si="114"/>
        <v>67742.507964219083</v>
      </c>
      <c r="AB45" s="1373">
        <f t="shared" si="114"/>
        <v>69419.438498906093</v>
      </c>
      <c r="AC45" s="1373">
        <f t="shared" si="114"/>
        <v>71122.05061918986</v>
      </c>
      <c r="AD45" s="1373">
        <f t="shared" si="114"/>
        <v>72850.681609882624</v>
      </c>
      <c r="AE45" s="1373">
        <f t="shared" si="114"/>
        <v>74605.672865031403</v>
      </c>
      <c r="AF45" s="1373">
        <f t="shared" si="114"/>
        <v>76387.369935845956</v>
      </c>
      <c r="AG45" s="1373">
        <f t="shared" si="114"/>
        <v>78196.122579168121</v>
      </c>
      <c r="AH45" s="1373">
        <f t="shared" si="114"/>
        <v>80032.28480649204</v>
      </c>
      <c r="AI45" s="1373">
        <f t="shared" si="114"/>
        <v>81896.214933539857</v>
      </c>
      <c r="AJ45" s="1373">
        <f t="shared" si="114"/>
        <v>83788.275630398828</v>
      </c>
      <c r="AK45" s="1373">
        <f t="shared" si="114"/>
        <v>85708.833972227643</v>
      </c>
      <c r="AL45" s="1373">
        <f t="shared" si="114"/>
        <v>87658.261490536679</v>
      </c>
      <c r="AM45" s="1373">
        <f t="shared" si="114"/>
        <v>89636.934225048928</v>
      </c>
      <c r="AN45" s="1373">
        <f t="shared" si="114"/>
        <v>91645.232776148769</v>
      </c>
      <c r="AO45" s="1373">
        <f t="shared" si="114"/>
        <v>93683.54235792422</v>
      </c>
    </row>
    <row r="46" spans="2:73" ht="15" x14ac:dyDescent="0.25">
      <c r="P46" s="1377" t="s">
        <v>567</v>
      </c>
      <c r="Q46" s="1373">
        <f t="shared" si="105"/>
        <v>-673.04195300683932</v>
      </c>
      <c r="R46" s="1373">
        <f t="shared" si="105"/>
        <v>-6793.3465262774043</v>
      </c>
      <c r="S46" s="879"/>
      <c r="T46" s="1378"/>
      <c r="U46" s="1373">
        <f t="shared" ref="U46:AO46" si="115">U21-U11</f>
        <v>-673.04195300683932</v>
      </c>
      <c r="V46" s="1373">
        <f t="shared" si="115"/>
        <v>-877.37354637215867</v>
      </c>
      <c r="W46" s="1373">
        <f t="shared" si="115"/>
        <v>-1093.9616940984288</v>
      </c>
      <c r="X46" s="1373">
        <f t="shared" si="115"/>
        <v>-1323.3922965084494</v>
      </c>
      <c r="Y46" s="1373">
        <f t="shared" si="115"/>
        <v>-1566.276995494547</v>
      </c>
      <c r="Z46" s="1373">
        <f t="shared" si="115"/>
        <v>-1823.2542623093632</v>
      </c>
      <c r="AA46" s="1373">
        <f t="shared" si="115"/>
        <v>-2094.9905304300173</v>
      </c>
      <c r="AB46" s="1373">
        <f t="shared" si="115"/>
        <v>-2382.1813753440547</v>
      </c>
      <c r="AC46" s="1373">
        <f t="shared" si="115"/>
        <v>-2685.5527431809114</v>
      </c>
      <c r="AD46" s="1373">
        <f t="shared" si="115"/>
        <v>-3005.8622301910309</v>
      </c>
      <c r="AE46" s="1373">
        <f t="shared" si="115"/>
        <v>-3343.9004151565496</v>
      </c>
      <c r="AF46" s="1373">
        <f t="shared" si="115"/>
        <v>-3700.4922469022149</v>
      </c>
      <c r="AG46" s="1373">
        <f t="shared" si="115"/>
        <v>-4076.4984891637287</v>
      </c>
      <c r="AH46" s="1373">
        <f t="shared" si="115"/>
        <v>-4472.8172251626766</v>
      </c>
      <c r="AI46" s="1373">
        <f t="shared" si="115"/>
        <v>-4890.3854243328842</v>
      </c>
      <c r="AJ46" s="1373">
        <f t="shared" si="115"/>
        <v>-5330.1805737427603</v>
      </c>
      <c r="AK46" s="1373">
        <f t="shared" si="115"/>
        <v>-5793.222376861715</v>
      </c>
      <c r="AL46" s="1373">
        <f t="shared" si="115"/>
        <v>-6280.5745224267212</v>
      </c>
      <c r="AM46" s="1373">
        <f t="shared" si="115"/>
        <v>-6793.346526277408</v>
      </c>
      <c r="AN46" s="1373">
        <f t="shared" si="115"/>
        <v>-7332.6956491446963</v>
      </c>
      <c r="AO46" s="1373">
        <f t="shared" si="115"/>
        <v>-7899.828893499789</v>
      </c>
    </row>
    <row r="47" spans="2:73" ht="15" x14ac:dyDescent="0.25">
      <c r="P47" s="1380" t="s">
        <v>564</v>
      </c>
      <c r="Q47" s="1373">
        <f t="shared" si="105"/>
        <v>-12531.751673471575</v>
      </c>
      <c r="R47" s="1373">
        <f t="shared" si="105"/>
        <v>30939.87915923947</v>
      </c>
      <c r="S47" s="879"/>
      <c r="T47" s="1378"/>
      <c r="U47" s="1373">
        <f t="shared" ref="U47:AO47" si="116">U22-U12</f>
        <v>-12531.751673471575</v>
      </c>
      <c r="V47" s="1373">
        <f t="shared" si="116"/>
        <v>-10671.041606645173</v>
      </c>
      <c r="W47" s="1373">
        <f t="shared" si="116"/>
        <v>-8753.3227855377772</v>
      </c>
      <c r="X47" s="1373">
        <f t="shared" si="116"/>
        <v>-6777.187849865586</v>
      </c>
      <c r="Y47" s="1373">
        <f t="shared" si="116"/>
        <v>-4741.196370042584</v>
      </c>
      <c r="Z47" s="1373">
        <f t="shared" si="116"/>
        <v>-2643.8740803863038</v>
      </c>
      <c r="AA47" s="1373">
        <f t="shared" si="116"/>
        <v>-483.7120946100913</v>
      </c>
      <c r="AB47" s="1373">
        <f t="shared" si="116"/>
        <v>1740.8338968081516</v>
      </c>
      <c r="AC47" s="1373">
        <f t="shared" si="116"/>
        <v>4031.3444477978046</v>
      </c>
      <c r="AD47" s="1373">
        <f t="shared" si="116"/>
        <v>6389.4371968368359</v>
      </c>
      <c r="AE47" s="1373">
        <f t="shared" si="116"/>
        <v>8816.7677264994709</v>
      </c>
      <c r="AF47" s="1373">
        <f t="shared" si="116"/>
        <v>11315.03044285858</v>
      </c>
      <c r="AG47" s="1373">
        <f t="shared" si="116"/>
        <v>13885.95947520074</v>
      </c>
      <c r="AH47" s="1373">
        <f t="shared" si="116"/>
        <v>16531.329596523021</v>
      </c>
      <c r="AI47" s="1373">
        <f t="shared" si="116"/>
        <v>19252.957165290543</v>
      </c>
      <c r="AJ47" s="1373">
        <f t="shared" si="116"/>
        <v>22052.701088945701</v>
      </c>
      <c r="AK47" s="1373">
        <f t="shared" si="116"/>
        <v>24932.463809671288</v>
      </c>
      <c r="AL47" s="1373">
        <f t="shared" si="116"/>
        <v>27894.192312920524</v>
      </c>
      <c r="AM47" s="1373">
        <f t="shared" si="116"/>
        <v>30939.879159239586</v>
      </c>
      <c r="AN47" s="1373">
        <f t="shared" si="116"/>
        <v>34071.5635399202</v>
      </c>
      <c r="AO47" s="1373">
        <f t="shared" si="116"/>
        <v>37291.332357032021</v>
      </c>
      <c r="AQ47" s="1370">
        <f>2023</f>
        <v>2023</v>
      </c>
      <c r="AR47" s="1370">
        <f>AQ47+1</f>
        <v>2024</v>
      </c>
      <c r="AS47" s="1370">
        <f t="shared" ref="AS47:BI47" si="117">AR47+1</f>
        <v>2025</v>
      </c>
      <c r="AT47" s="1370">
        <f t="shared" si="117"/>
        <v>2026</v>
      </c>
      <c r="AU47" s="1370">
        <f t="shared" si="117"/>
        <v>2027</v>
      </c>
      <c r="AV47" s="1370">
        <f t="shared" si="117"/>
        <v>2028</v>
      </c>
      <c r="AW47" s="1370">
        <f t="shared" si="117"/>
        <v>2029</v>
      </c>
      <c r="AX47" s="1370">
        <f t="shared" si="117"/>
        <v>2030</v>
      </c>
      <c r="AY47" s="1370">
        <f t="shared" si="117"/>
        <v>2031</v>
      </c>
      <c r="AZ47" s="1370">
        <f t="shared" si="117"/>
        <v>2032</v>
      </c>
      <c r="BA47" s="1370">
        <f t="shared" si="117"/>
        <v>2033</v>
      </c>
      <c r="BB47" s="1370">
        <f t="shared" si="117"/>
        <v>2034</v>
      </c>
      <c r="BC47" s="1370">
        <f t="shared" si="117"/>
        <v>2035</v>
      </c>
      <c r="BD47" s="1370">
        <f t="shared" si="117"/>
        <v>2036</v>
      </c>
      <c r="BE47" s="1370">
        <f t="shared" si="117"/>
        <v>2037</v>
      </c>
      <c r="BF47" s="1370">
        <f t="shared" si="117"/>
        <v>2038</v>
      </c>
      <c r="BG47" s="1370">
        <f t="shared" si="117"/>
        <v>2039</v>
      </c>
      <c r="BH47" s="1370">
        <f t="shared" si="117"/>
        <v>2040</v>
      </c>
      <c r="BI47" s="1370">
        <f t="shared" si="117"/>
        <v>2041</v>
      </c>
      <c r="BJ47" s="1370">
        <f t="shared" ref="BJ47" si="118">BI47+1</f>
        <v>2042</v>
      </c>
      <c r="BK47" s="1370">
        <f t="shared" ref="BK47" si="119">BJ47+1</f>
        <v>2043</v>
      </c>
    </row>
    <row r="48" spans="2:73" ht="15" x14ac:dyDescent="0.25">
      <c r="P48" s="1380" t="s">
        <v>568</v>
      </c>
      <c r="Q48" s="1373">
        <f t="shared" si="105"/>
        <v>-910.37086158859938</v>
      </c>
      <c r="R48" s="1373">
        <f t="shared" si="105"/>
        <v>-2487.4516920660108</v>
      </c>
      <c r="S48" s="879"/>
      <c r="T48" s="1378"/>
      <c r="U48" s="1373">
        <f t="shared" ref="U48:AO48" si="120">U23-U13</f>
        <v>-910.37086158859938</v>
      </c>
      <c r="V48" s="1373">
        <f t="shared" si="120"/>
        <v>-966.30003235331196</v>
      </c>
      <c r="W48" s="1373">
        <f t="shared" si="120"/>
        <v>-1025.0980603955491</v>
      </c>
      <c r="X48" s="1373">
        <f t="shared" si="120"/>
        <v>-1086.9001713285288</v>
      </c>
      <c r="Y48" s="1373">
        <f t="shared" si="120"/>
        <v>-1151.8476641319094</v>
      </c>
      <c r="Z48" s="1373">
        <f t="shared" si="120"/>
        <v>-1220.0881756827084</v>
      </c>
      <c r="AA48" s="1373">
        <f t="shared" si="120"/>
        <v>-1291.7759565709835</v>
      </c>
      <c r="AB48" s="1373">
        <f t="shared" si="120"/>
        <v>-1367.072158674609</v>
      </c>
      <c r="AC48" s="1373">
        <f t="shared" si="120"/>
        <v>-1446.1451349872909</v>
      </c>
      <c r="AD48" s="1373">
        <f t="shared" si="120"/>
        <v>-1529.1707522143897</v>
      </c>
      <c r="AE48" s="1373">
        <f t="shared" si="120"/>
        <v>-1616.3327166726349</v>
      </c>
      <c r="AF48" s="1373">
        <f t="shared" si="120"/>
        <v>-1707.8229140519857</v>
      </c>
      <c r="AG48" s="1373">
        <f t="shared" si="120"/>
        <v>-1803.841763621137</v>
      </c>
      <c r="AH48" s="1373">
        <f t="shared" si="120"/>
        <v>-1904.5985874822736</v>
      </c>
      <c r="AI48" s="1373">
        <f t="shared" si="120"/>
        <v>-2010.311995505881</v>
      </c>
      <c r="AJ48" s="1373">
        <f t="shared" si="120"/>
        <v>-2121.2102866024898</v>
      </c>
      <c r="AK48" s="1373">
        <f t="shared" si="120"/>
        <v>-2237.5318670156162</v>
      </c>
      <c r="AL48" s="1373">
        <f t="shared" si="120"/>
        <v>-2359.5256863483855</v>
      </c>
      <c r="AM48" s="1373">
        <f t="shared" si="120"/>
        <v>-2487.4516920660299</v>
      </c>
      <c r="AN48" s="1373">
        <f t="shared" si="120"/>
        <v>-2621.5813032470669</v>
      </c>
      <c r="AO48" s="1373">
        <f t="shared" si="120"/>
        <v>-2762.1979043880774</v>
      </c>
      <c r="AQ48" s="1373">
        <f t="shared" ref="AQ48:BK48" si="121">U17*315</f>
        <v>7912174.4054239402</v>
      </c>
      <c r="AR48" s="1373">
        <f t="shared" si="121"/>
        <v>8090849.3237316124</v>
      </c>
      <c r="AS48" s="1373">
        <f t="shared" si="121"/>
        <v>8273559.128632579</v>
      </c>
      <c r="AT48" s="1373">
        <f t="shared" si="121"/>
        <v>8460394.9370557014</v>
      </c>
      <c r="AU48" s="1373">
        <f t="shared" si="121"/>
        <v>8651449.9235576168</v>
      </c>
      <c r="AV48" s="1373">
        <f t="shared" si="121"/>
        <v>8846819.3667886574</v>
      </c>
      <c r="AW48" s="1373">
        <f t="shared" si="121"/>
        <v>9046600.6970080845</v>
      </c>
      <c r="AX48" s="1373">
        <f t="shared" si="121"/>
        <v>9250893.5446723085</v>
      </c>
      <c r="AY48" s="1373">
        <f t="shared" si="121"/>
        <v>9459799.7901203614</v>
      </c>
      <c r="AZ48" s="1373">
        <f t="shared" si="121"/>
        <v>9673423.6143813636</v>
      </c>
      <c r="BA48" s="1373">
        <f t="shared" si="121"/>
        <v>9891871.5511293523</v>
      </c>
      <c r="BB48" s="1373">
        <f t="shared" si="121"/>
        <v>10115252.539811356</v>
      </c>
      <c r="BC48" s="1373">
        <f t="shared" si="121"/>
        <v>10343677.979975222</v>
      </c>
      <c r="BD48" s="1373">
        <f t="shared" si="121"/>
        <v>10577261.786824321</v>
      </c>
      <c r="BE48" s="1373">
        <f t="shared" si="121"/>
        <v>10816120.448026752</v>
      </c>
      <c r="BF48" s="1373">
        <f t="shared" si="121"/>
        <v>11060373.081807462</v>
      </c>
      <c r="BG48" s="1373">
        <f t="shared" si="121"/>
        <v>11310141.496352218</v>
      </c>
      <c r="BH48" s="1373">
        <f t="shared" si="121"/>
        <v>11565550.250553038</v>
      </c>
      <c r="BI48" s="1373">
        <f t="shared" si="121"/>
        <v>11826726.716125414</v>
      </c>
      <c r="BJ48" s="1373">
        <f t="shared" si="121"/>
        <v>12093801.141128264</v>
      </c>
      <c r="BK48" s="1373">
        <f t="shared" si="121"/>
        <v>12366906.714918323</v>
      </c>
    </row>
    <row r="49" spans="1:64" ht="15" x14ac:dyDescent="0.25">
      <c r="T49" s="1383"/>
      <c r="AQ49" s="1373">
        <f t="shared" ref="AQ49:BK49" si="122">U19*315</f>
        <v>4292813.8109059492</v>
      </c>
      <c r="AR49" s="1373">
        <f t="shared" si="122"/>
        <v>4356293.5202935077</v>
      </c>
      <c r="AS49" s="1373">
        <f t="shared" si="122"/>
        <v>4420711.9318194399</v>
      </c>
      <c r="AT49" s="1373">
        <f t="shared" si="122"/>
        <v>4486082.9264815142</v>
      </c>
      <c r="AU49" s="1373">
        <f t="shared" si="122"/>
        <v>4552420.5905418703</v>
      </c>
      <c r="AV49" s="1373">
        <f t="shared" si="122"/>
        <v>4619739.2185623469</v>
      </c>
      <c r="AW49" s="1373">
        <f t="shared" si="122"/>
        <v>4688053.3164846972</v>
      </c>
      <c r="AX49" s="1373">
        <f t="shared" si="122"/>
        <v>4757377.6047563637</v>
      </c>
      <c r="AY49" s="1373">
        <f t="shared" si="122"/>
        <v>4827727.0215024585</v>
      </c>
      <c r="AZ49" s="1373">
        <f t="shared" si="122"/>
        <v>4899116.7257446675</v>
      </c>
      <c r="BA49" s="1373">
        <f t="shared" si="122"/>
        <v>4971562.1006677346</v>
      </c>
      <c r="BB49" s="1373">
        <f t="shared" si="122"/>
        <v>5045078.7569342656</v>
      </c>
      <c r="BC49" s="1373">
        <f t="shared" si="122"/>
        <v>5119682.5360485408</v>
      </c>
      <c r="BD49" s="1373">
        <f t="shared" si="122"/>
        <v>5195389.5137700681</v>
      </c>
      <c r="BE49" s="1373">
        <f t="shared" si="122"/>
        <v>5272216.0035776235</v>
      </c>
      <c r="BF49" s="1373">
        <f t="shared" si="122"/>
        <v>5350178.560184503</v>
      </c>
      <c r="BG49" s="1373">
        <f t="shared" si="122"/>
        <v>5429293.9831057657</v>
      </c>
      <c r="BH49" s="1373">
        <f t="shared" si="122"/>
        <v>5509579.3202782255</v>
      </c>
      <c r="BI49" s="1373">
        <f t="shared" si="122"/>
        <v>5591051.8717339709</v>
      </c>
      <c r="BJ49" s="1373">
        <f t="shared" si="122"/>
        <v>5673729.1933282055</v>
      </c>
      <c r="BK49" s="1373">
        <f t="shared" si="122"/>
        <v>5757629.1005222183</v>
      </c>
      <c r="BL49" s="1373">
        <f>BI13+BI14+BI15+BI16</f>
        <v>882221271.69742501</v>
      </c>
    </row>
    <row r="50" spans="1:64" ht="15" x14ac:dyDescent="0.25">
      <c r="T50" s="1383"/>
      <c r="AQ50" s="1373">
        <f t="shared" ref="AQ50:BK50" si="123">U21*265</f>
        <v>2604204.4949923167</v>
      </c>
      <c r="AR50" s="1373">
        <f t="shared" si="123"/>
        <v>2662752.4562939131</v>
      </c>
      <c r="AS50" s="1373">
        <f t="shared" si="123"/>
        <v>2722616.6981637846</v>
      </c>
      <c r="AT50" s="1373">
        <f t="shared" si="123"/>
        <v>2783826.8133408739</v>
      </c>
      <c r="AU50" s="1373">
        <f t="shared" si="123"/>
        <v>2846413.0598707604</v>
      </c>
      <c r="AV50" s="1373">
        <f t="shared" si="123"/>
        <v>2910406.3760631448</v>
      </c>
      <c r="AW50" s="1373">
        <f t="shared" si="123"/>
        <v>2975838.3957856074</v>
      </c>
      <c r="AX50" s="1373">
        <f t="shared" si="123"/>
        <v>3042741.4641012065</v>
      </c>
      <c r="AY50" s="1373">
        <f t="shared" si="123"/>
        <v>3111148.653257635</v>
      </c>
      <c r="AZ50" s="1373">
        <f t="shared" si="123"/>
        <v>3181093.7790358537</v>
      </c>
      <c r="BA50" s="1373">
        <f t="shared" si="123"/>
        <v>3252611.4174662763</v>
      </c>
      <c r="BB50" s="1373">
        <f t="shared" si="123"/>
        <v>3325736.9219207591</v>
      </c>
      <c r="BC50" s="1373">
        <f t="shared" si="123"/>
        <v>3400506.4405888706</v>
      </c>
      <c r="BD50" s="1373">
        <f t="shared" si="123"/>
        <v>3476956.934347047</v>
      </c>
      <c r="BE50" s="1373">
        <f t="shared" si="123"/>
        <v>3555126.1950294995</v>
      </c>
      <c r="BF50" s="1373">
        <f t="shared" si="123"/>
        <v>3635052.8641098756</v>
      </c>
      <c r="BG50" s="1373">
        <f t="shared" si="123"/>
        <v>3716776.4518029341</v>
      </c>
      <c r="BH50" s="1373">
        <f t="shared" si="123"/>
        <v>3800337.3565956606</v>
      </c>
      <c r="BI50" s="1373">
        <f t="shared" si="123"/>
        <v>3885776.8852174827</v>
      </c>
      <c r="BJ50" s="1373">
        <f t="shared" si="123"/>
        <v>3973137.2730594603</v>
      </c>
      <c r="BK50" s="1373">
        <f t="shared" si="123"/>
        <v>4062461.7050525411</v>
      </c>
    </row>
    <row r="51" spans="1:64" ht="42" x14ac:dyDescent="0.35">
      <c r="P51" s="861" t="s">
        <v>848</v>
      </c>
      <c r="T51" s="1383"/>
      <c r="AQ51" s="1373">
        <f t="shared" ref="AQ51:BK51" si="124">U23*365</f>
        <v>897467.39945533779</v>
      </c>
      <c r="AR51" s="1373">
        <f t="shared" si="124"/>
        <v>926381.51465221588</v>
      </c>
      <c r="AS51" s="1373">
        <f t="shared" si="124"/>
        <v>956227.16904274665</v>
      </c>
      <c r="AT51" s="1373">
        <f t="shared" si="124"/>
        <v>987034.37444860989</v>
      </c>
      <c r="AU51" s="1373">
        <f t="shared" si="124"/>
        <v>1018834.1095959875</v>
      </c>
      <c r="AV51" s="1373">
        <f t="shared" si="124"/>
        <v>1051658.3512667657</v>
      </c>
      <c r="AW51" s="1373">
        <f t="shared" si="124"/>
        <v>1085540.1064533498</v>
      </c>
      <c r="AX51" s="1373">
        <f t="shared" si="124"/>
        <v>1120513.445549424</v>
      </c>
      <c r="AY51" s="1373">
        <f t="shared" si="124"/>
        <v>1156613.5366100343</v>
      </c>
      <c r="AZ51" s="1373">
        <f t="shared" si="124"/>
        <v>1193876.6807154433</v>
      </c>
      <c r="BA51" s="1373">
        <f t="shared" si="124"/>
        <v>1232340.3484743196</v>
      </c>
      <c r="BB51" s="1373">
        <f t="shared" si="124"/>
        <v>1272043.2177029643</v>
      </c>
      <c r="BC51" s="1373">
        <f t="shared" si="124"/>
        <v>1313025.2123184702</v>
      </c>
      <c r="BD51" s="1373">
        <f t="shared" si="124"/>
        <v>1355327.5424849165</v>
      </c>
      <c r="BE51" s="1373">
        <f t="shared" si="124"/>
        <v>1398992.7460529716</v>
      </c>
      <c r="BF51" s="1373">
        <f t="shared" si="124"/>
        <v>1444064.731334578</v>
      </c>
      <c r="BG51" s="1373">
        <f t="shared" si="124"/>
        <v>1490588.8212557232</v>
      </c>
      <c r="BH51" s="1373">
        <f t="shared" si="124"/>
        <v>1538611.7989317065</v>
      </c>
      <c r="BI51" s="1373">
        <f t="shared" si="124"/>
        <v>1588181.9547107199</v>
      </c>
      <c r="BJ51" s="1373">
        <f t="shared" si="124"/>
        <v>1639349.1347330555</v>
      </c>
      <c r="BK51" s="1373">
        <f t="shared" si="124"/>
        <v>1692164.7910547676</v>
      </c>
    </row>
    <row r="52" spans="1:64" ht="15.75" x14ac:dyDescent="0.25">
      <c r="P52" s="1371" t="s">
        <v>0</v>
      </c>
      <c r="Q52" s="1370">
        <v>2023</v>
      </c>
      <c r="R52" s="1370">
        <v>2041</v>
      </c>
      <c r="S52" s="1370" t="s">
        <v>211</v>
      </c>
      <c r="T52" s="1372"/>
      <c r="U52" s="1370">
        <f>2023</f>
        <v>2023</v>
      </c>
      <c r="V52" s="1370">
        <f>U52+1</f>
        <v>2024</v>
      </c>
      <c r="W52" s="1370">
        <f t="shared" ref="W52:AL52" si="125">V52+1</f>
        <v>2025</v>
      </c>
      <c r="X52" s="1370">
        <f t="shared" si="125"/>
        <v>2026</v>
      </c>
      <c r="Y52" s="1370">
        <f t="shared" si="125"/>
        <v>2027</v>
      </c>
      <c r="Z52" s="1370">
        <f t="shared" si="125"/>
        <v>2028</v>
      </c>
      <c r="AA52" s="1370">
        <f t="shared" si="125"/>
        <v>2029</v>
      </c>
      <c r="AB52" s="1370">
        <f t="shared" si="125"/>
        <v>2030</v>
      </c>
      <c r="AC52" s="1370">
        <f t="shared" si="125"/>
        <v>2031</v>
      </c>
      <c r="AD52" s="1370">
        <f t="shared" si="125"/>
        <v>2032</v>
      </c>
      <c r="AE52" s="1370">
        <f t="shared" si="125"/>
        <v>2033</v>
      </c>
      <c r="AF52" s="1370">
        <f t="shared" si="125"/>
        <v>2034</v>
      </c>
      <c r="AG52" s="1370">
        <f t="shared" si="125"/>
        <v>2035</v>
      </c>
      <c r="AH52" s="1370">
        <f t="shared" si="125"/>
        <v>2036</v>
      </c>
      <c r="AI52" s="1370">
        <f t="shared" si="125"/>
        <v>2037</v>
      </c>
      <c r="AJ52" s="1370">
        <f t="shared" si="125"/>
        <v>2038</v>
      </c>
      <c r="AK52" s="1370">
        <f t="shared" si="125"/>
        <v>2039</v>
      </c>
      <c r="AL52" s="1370">
        <f t="shared" si="125"/>
        <v>2040</v>
      </c>
      <c r="AM52" s="1370">
        <f t="shared" ref="AM52" si="126">AL52+1</f>
        <v>2041</v>
      </c>
      <c r="AN52" s="1370">
        <f t="shared" ref="AN52" si="127">AM52+1</f>
        <v>2042</v>
      </c>
      <c r="AO52" s="1370">
        <f t="shared" ref="AO52" si="128">AN52+1</f>
        <v>2043</v>
      </c>
    </row>
    <row r="53" spans="1:64" ht="15" x14ac:dyDescent="0.25">
      <c r="P53" s="1377" t="s">
        <v>561</v>
      </c>
      <c r="Q53" s="1373">
        <f t="shared" ref="Q53:R60" si="129">Q26-Q6</f>
        <v>162667.75378060888</v>
      </c>
      <c r="R53" s="1373">
        <f t="shared" si="129"/>
        <v>241360.4532058062</v>
      </c>
      <c r="S53" s="879"/>
      <c r="T53" s="1378"/>
      <c r="U53" s="1373">
        <f t="shared" ref="U53:AO53" si="130">U26-U6</f>
        <v>162667.75378060888</v>
      </c>
      <c r="V53" s="1373">
        <f t="shared" si="130"/>
        <v>166509.17115323199</v>
      </c>
      <c r="W53" s="1373">
        <f t="shared" si="130"/>
        <v>170408.74803033215</v>
      </c>
      <c r="X53" s="1373">
        <f t="shared" si="130"/>
        <v>174367.24379261676</v>
      </c>
      <c r="Y53" s="1373">
        <f t="shared" si="130"/>
        <v>178385.42703259876</v>
      </c>
      <c r="Z53" s="1373">
        <f t="shared" si="130"/>
        <v>182464.07566161081</v>
      </c>
      <c r="AA53" s="1373">
        <f t="shared" si="130"/>
        <v>186603.97701802221</v>
      </c>
      <c r="AB53" s="1373">
        <f t="shared" si="130"/>
        <v>190805.92797668558</v>
      </c>
      <c r="AC53" s="1373">
        <f t="shared" si="130"/>
        <v>195070.7350596108</v>
      </c>
      <c r="AD53" s="1373">
        <f t="shared" si="130"/>
        <v>199399.21454789559</v>
      </c>
      <c r="AE53" s="1373">
        <f t="shared" si="130"/>
        <v>203792.19259491493</v>
      </c>
      <c r="AF53" s="1373">
        <f t="shared" si="130"/>
        <v>208250.50534079061</v>
      </c>
      <c r="AG53" s="1373">
        <f t="shared" si="130"/>
        <v>212774.99902814999</v>
      </c>
      <c r="AH53" s="1373">
        <f t="shared" si="130"/>
        <v>217366.53011919116</v>
      </c>
      <c r="AI53" s="1373">
        <f t="shared" si="130"/>
        <v>222025.96541406913</v>
      </c>
      <c r="AJ53" s="1373">
        <f t="shared" si="130"/>
        <v>226754.18217061763</v>
      </c>
      <c r="AK53" s="1373">
        <f t="shared" si="130"/>
        <v>231552.06822541589</v>
      </c>
      <c r="AL53" s="1373">
        <f t="shared" si="130"/>
        <v>236420.52211622521</v>
      </c>
      <c r="AM53" s="1373">
        <f t="shared" si="130"/>
        <v>241360.45320580294</v>
      </c>
      <c r="AN53" s="1373">
        <f t="shared" si="130"/>
        <v>246372.78180711181</v>
      </c>
      <c r="AO53" s="1373">
        <f t="shared" si="130"/>
        <v>251458.43930993718</v>
      </c>
    </row>
    <row r="54" spans="1:64" ht="15" x14ac:dyDescent="0.25">
      <c r="P54" s="1377" t="s">
        <v>565</v>
      </c>
      <c r="Q54" s="1373">
        <f t="shared" si="129"/>
        <v>46.774167740117264</v>
      </c>
      <c r="R54" s="1373">
        <f t="shared" si="129"/>
        <v>-13939.6379779743</v>
      </c>
      <c r="S54" s="879"/>
      <c r="T54" s="1378"/>
      <c r="U54" s="1373">
        <f t="shared" ref="U54:AO54" si="131">U27-U7</f>
        <v>46.774167740117264</v>
      </c>
      <c r="V54" s="1373">
        <f t="shared" si="131"/>
        <v>-405.17975179933273</v>
      </c>
      <c r="W54" s="1373">
        <f t="shared" si="131"/>
        <v>-886.25114891110206</v>
      </c>
      <c r="X54" s="1373">
        <f t="shared" si="131"/>
        <v>-1397.8777051281904</v>
      </c>
      <c r="Y54" s="1373">
        <f t="shared" si="131"/>
        <v>-1941.5615358254836</v>
      </c>
      <c r="Z54" s="1373">
        <f t="shared" si="131"/>
        <v>-2518.8719501907435</v>
      </c>
      <c r="AA54" s="1373">
        <f t="shared" si="131"/>
        <v>-3131.448326669597</v>
      </c>
      <c r="AB54" s="1373">
        <f t="shared" si="131"/>
        <v>-3781.0031086541712</v>
      </c>
      <c r="AC54" s="1373">
        <f t="shared" si="131"/>
        <v>-4469.3249253804061</v>
      </c>
      <c r="AD54" s="1373">
        <f t="shared" si="131"/>
        <v>-5198.281843202727</v>
      </c>
      <c r="AE54" s="1373">
        <f t="shared" si="131"/>
        <v>-5969.8247526267005</v>
      </c>
      <c r="AF54" s="1373">
        <f t="shared" si="131"/>
        <v>-6785.9908967005977</v>
      </c>
      <c r="AG54" s="1373">
        <f t="shared" si="131"/>
        <v>-7648.9075465967107</v>
      </c>
      <c r="AH54" s="1373">
        <f t="shared" si="131"/>
        <v>-8560.7958304516287</v>
      </c>
      <c r="AI54" s="1373">
        <f t="shared" si="131"/>
        <v>-9523.9747217839322</v>
      </c>
      <c r="AJ54" s="1373">
        <f t="shared" si="131"/>
        <v>-10540.865194066049</v>
      </c>
      <c r="AK54" s="1373">
        <f t="shared" si="131"/>
        <v>-11613.994548296752</v>
      </c>
      <c r="AL54" s="1373">
        <f t="shared" si="131"/>
        <v>-12746.000920700768</v>
      </c>
      <c r="AM54" s="1373">
        <f t="shared" si="131"/>
        <v>-13939.637977974227</v>
      </c>
      <c r="AN54" s="1373">
        <f t="shared" si="131"/>
        <v>-15197.779807797946</v>
      </c>
      <c r="AO54" s="1373">
        <f t="shared" si="131"/>
        <v>-16523.426012656833</v>
      </c>
      <c r="AQ54" s="1370">
        <f>2023</f>
        <v>2023</v>
      </c>
      <c r="AR54" s="1370">
        <f>AQ54+1</f>
        <v>2024</v>
      </c>
      <c r="AS54" s="1370">
        <f t="shared" ref="AS54:BI54" si="132">AR54+1</f>
        <v>2025</v>
      </c>
      <c r="AT54" s="1370">
        <f t="shared" si="132"/>
        <v>2026</v>
      </c>
      <c r="AU54" s="1370">
        <f t="shared" si="132"/>
        <v>2027</v>
      </c>
      <c r="AV54" s="1370">
        <f t="shared" si="132"/>
        <v>2028</v>
      </c>
      <c r="AW54" s="1370">
        <f t="shared" si="132"/>
        <v>2029</v>
      </c>
      <c r="AX54" s="1370">
        <f t="shared" si="132"/>
        <v>2030</v>
      </c>
      <c r="AY54" s="1370">
        <f t="shared" si="132"/>
        <v>2031</v>
      </c>
      <c r="AZ54" s="1370">
        <f t="shared" si="132"/>
        <v>2032</v>
      </c>
      <c r="BA54" s="1370">
        <f t="shared" si="132"/>
        <v>2033</v>
      </c>
      <c r="BB54" s="1370">
        <f t="shared" si="132"/>
        <v>2034</v>
      </c>
      <c r="BC54" s="1370">
        <f t="shared" si="132"/>
        <v>2035</v>
      </c>
      <c r="BD54" s="1370">
        <f t="shared" si="132"/>
        <v>2036</v>
      </c>
      <c r="BE54" s="1370">
        <f t="shared" si="132"/>
        <v>2037</v>
      </c>
      <c r="BF54" s="1370">
        <f t="shared" si="132"/>
        <v>2038</v>
      </c>
      <c r="BG54" s="1370">
        <f t="shared" si="132"/>
        <v>2039</v>
      </c>
      <c r="BH54" s="1370">
        <f t="shared" si="132"/>
        <v>2040</v>
      </c>
      <c r="BI54" s="1370">
        <f t="shared" si="132"/>
        <v>2041</v>
      </c>
      <c r="BJ54" s="1370">
        <f t="shared" ref="BJ54" si="133">BI54+1</f>
        <v>2042</v>
      </c>
      <c r="BK54" s="1370">
        <f t="shared" ref="BK54" si="134">BJ54+1</f>
        <v>2043</v>
      </c>
    </row>
    <row r="55" spans="1:64" ht="15" x14ac:dyDescent="0.25">
      <c r="P55" s="1380" t="s">
        <v>562</v>
      </c>
      <c r="Q55" s="1373">
        <f t="shared" si="129"/>
        <v>89426.086240514531</v>
      </c>
      <c r="R55" s="1373">
        <f t="shared" si="129"/>
        <v>114318.76636552869</v>
      </c>
      <c r="S55" s="879"/>
      <c r="T55" s="1378"/>
      <c r="U55" s="1373">
        <f t="shared" ref="U55:AO55" si="135">U28-U8</f>
        <v>89426.086240514531</v>
      </c>
      <c r="V55" s="1373">
        <f t="shared" si="135"/>
        <v>90769.871446960606</v>
      </c>
      <c r="W55" s="1373">
        <f t="shared" si="135"/>
        <v>92118.191111723077</v>
      </c>
      <c r="X55" s="1373">
        <f t="shared" si="135"/>
        <v>93471.058301653713</v>
      </c>
      <c r="Y55" s="1373">
        <f t="shared" si="135"/>
        <v>94828.486119838897</v>
      </c>
      <c r="Z55" s="1373">
        <f t="shared" si="135"/>
        <v>96190.487705699401</v>
      </c>
      <c r="AA55" s="1373">
        <f t="shared" si="135"/>
        <v>97557.07623509015</v>
      </c>
      <c r="AB55" s="1373">
        <f t="shared" si="135"/>
        <v>98928.264920399757</v>
      </c>
      <c r="AC55" s="1373">
        <f t="shared" si="135"/>
        <v>100304.06701065111</v>
      </c>
      <c r="AD55" s="1373">
        <f t="shared" si="135"/>
        <v>101684.49579160195</v>
      </c>
      <c r="AE55" s="1373">
        <f t="shared" si="135"/>
        <v>103069.56458584545</v>
      </c>
      <c r="AF55" s="1373">
        <f t="shared" si="135"/>
        <v>104459.2867529114</v>
      </c>
      <c r="AG55" s="1373">
        <f t="shared" si="135"/>
        <v>105853.67568936758</v>
      </c>
      <c r="AH55" s="1373">
        <f t="shared" si="135"/>
        <v>107252.74482892058</v>
      </c>
      <c r="AI55" s="1373">
        <f t="shared" si="135"/>
        <v>108656.50764252001</v>
      </c>
      <c r="AJ55" s="1373">
        <f t="shared" si="135"/>
        <v>110064.97763845744</v>
      </c>
      <c r="AK55" s="1373">
        <f t="shared" si="135"/>
        <v>111478.16836247128</v>
      </c>
      <c r="AL55" s="1373">
        <f t="shared" si="135"/>
        <v>112896.09339784889</v>
      </c>
      <c r="AM55" s="1373">
        <f t="shared" si="135"/>
        <v>114318.76636552927</v>
      </c>
      <c r="AN55" s="1373">
        <f t="shared" si="135"/>
        <v>115746.20092420653</v>
      </c>
      <c r="AO55" s="1373">
        <f t="shared" si="135"/>
        <v>117178.41077043349</v>
      </c>
      <c r="AQ55" s="1373">
        <f t="shared" ref="AQ55:BK55" si="136">U27*315</f>
        <v>8469045.2065612637</v>
      </c>
      <c r="AR55" s="1373">
        <f t="shared" si="136"/>
        <v>8669953.5787617825</v>
      </c>
      <c r="AS55" s="1373">
        <f t="shared" si="136"/>
        <v>8875628.0341553614</v>
      </c>
      <c r="AT55" s="1373">
        <f t="shared" si="136"/>
        <v>9086181.6369650308</v>
      </c>
      <c r="AU55" s="1373">
        <f t="shared" si="136"/>
        <v>9301730.1335991733</v>
      </c>
      <c r="AV55" s="1373">
        <f t="shared" si="136"/>
        <v>9522392.0162801277</v>
      </c>
      <c r="AW55" s="1373">
        <f t="shared" si="136"/>
        <v>9748288.5881822221</v>
      </c>
      <c r="AX55" s="1373">
        <f t="shared" si="136"/>
        <v>9979544.030115068</v>
      </c>
      <c r="AY55" s="1373">
        <f t="shared" si="136"/>
        <v>10216285.468788756</v>
      </c>
      <c r="AZ55" s="1373">
        <f t="shared" si="136"/>
        <v>10458643.046698483</v>
      </c>
      <c r="BA55" s="1373">
        <f t="shared" si="136"/>
        <v>10706749.993667021</v>
      </c>
      <c r="BB55" s="1373">
        <f t="shared" si="136"/>
        <v>10960742.700084392</v>
      </c>
      <c r="BC55" s="1373">
        <f t="shared" si="136"/>
        <v>11220760.791884942</v>
      </c>
      <c r="BD55" s="1373">
        <f t="shared" si="136"/>
        <v>11486947.207303116</v>
      </c>
      <c r="BE55" s="1373">
        <f t="shared" si="136"/>
        <v>11759448.275450043</v>
      </c>
      <c r="BF55" s="1373">
        <f t="shared" si="136"/>
        <v>12038413.796754204</v>
      </c>
      <c r="BG55" s="1373">
        <f t="shared" si="136"/>
        <v>12323997.125310337</v>
      </c>
      <c r="BH55" s="1373">
        <f t="shared" si="136"/>
        <v>12616355.253181908</v>
      </c>
      <c r="BI55" s="1373">
        <f t="shared" si="136"/>
        <v>12915648.896703433</v>
      </c>
      <c r="BJ55" s="1373">
        <f t="shared" si="136"/>
        <v>13222042.584830141</v>
      </c>
      <c r="BK55" s="1373">
        <f t="shared" si="136"/>
        <v>13535704.749583511</v>
      </c>
    </row>
    <row r="56" spans="1:64" ht="15" x14ac:dyDescent="0.25">
      <c r="P56" s="1380" t="s">
        <v>566</v>
      </c>
      <c r="Q56" s="1373">
        <f t="shared" si="129"/>
        <v>32.183156570599749</v>
      </c>
      <c r="R56" s="1373">
        <f t="shared" si="129"/>
        <v>-6587.3668534519347</v>
      </c>
      <c r="S56" s="879"/>
      <c r="T56" s="1378"/>
      <c r="U56" s="1373">
        <f t="shared" ref="U56:AO56" si="137">U29-U9</f>
        <v>32.183156570599749</v>
      </c>
      <c r="V56" s="1373">
        <f t="shared" si="137"/>
        <v>-211.36472952981239</v>
      </c>
      <c r="W56" s="1373">
        <f t="shared" si="137"/>
        <v>-466.77743040894347</v>
      </c>
      <c r="X56" s="1373">
        <f t="shared" si="137"/>
        <v>-734.50517848557502</v>
      </c>
      <c r="Y56" s="1373">
        <f t="shared" si="137"/>
        <v>-1015.0139237275598</v>
      </c>
      <c r="Z56" s="1373">
        <f t="shared" si="137"/>
        <v>-1308.7858635647081</v>
      </c>
      <c r="AA56" s="1373">
        <f t="shared" si="137"/>
        <v>-1616.3199903870609</v>
      </c>
      <c r="AB56" s="1373">
        <f t="shared" si="137"/>
        <v>-1938.1326572077487</v>
      </c>
      <c r="AC56" s="1373">
        <f t="shared" si="137"/>
        <v>-2274.7581620887031</v>
      </c>
      <c r="AD56" s="1373">
        <f t="shared" si="137"/>
        <v>-2626.7493519471245</v>
      </c>
      <c r="AE56" s="1373">
        <f t="shared" si="137"/>
        <v>-2994.6782463808231</v>
      </c>
      <c r="AF56" s="1373">
        <f t="shared" si="137"/>
        <v>-3379.1366821715819</v>
      </c>
      <c r="AG56" s="1373">
        <f t="shared" si="137"/>
        <v>-3780.7369791472702</v>
      </c>
      <c r="AH56" s="1373">
        <f t="shared" si="137"/>
        <v>-4200.1126281057113</v>
      </c>
      <c r="AI56" s="1373">
        <f t="shared" si="137"/>
        <v>-4637.9190015265704</v>
      </c>
      <c r="AJ56" s="1373">
        <f t="shared" si="137"/>
        <v>-5094.8340878210547</v>
      </c>
      <c r="AK56" s="1373">
        <f t="shared" si="137"/>
        <v>-5571.5592498941805</v>
      </c>
      <c r="AL56" s="1373">
        <f t="shared" si="137"/>
        <v>-6068.8200088194098</v>
      </c>
      <c r="AM56" s="1373">
        <f t="shared" si="137"/>
        <v>-6587.3668534519747</v>
      </c>
      <c r="AN56" s="1373">
        <f t="shared" si="137"/>
        <v>-7127.9760768342057</v>
      </c>
      <c r="AO56" s="1373">
        <f t="shared" si="137"/>
        <v>-7691.4506402741063</v>
      </c>
      <c r="AQ56" s="1373">
        <f t="shared" ref="AQ56:BK56" si="138">U29*315</f>
        <v>4593359.8318302492</v>
      </c>
      <c r="AR56" s="1373">
        <f t="shared" si="138"/>
        <v>4666563.3627820546</v>
      </c>
      <c r="AS56" s="1373">
        <f t="shared" si="138"/>
        <v>4740933.5249450002</v>
      </c>
      <c r="AT56" s="1373">
        <f t="shared" si="138"/>
        <v>4816488.9107061625</v>
      </c>
      <c r="AU56" s="1373">
        <f t="shared" si="138"/>
        <v>4893248.4087560717</v>
      </c>
      <c r="AV56" s="1373">
        <f t="shared" si="138"/>
        <v>4971231.2088108454</v>
      </c>
      <c r="AW56" s="1373">
        <f t="shared" si="138"/>
        <v>5050456.8064095778</v>
      </c>
      <c r="AX56" s="1373">
        <f t="shared" si="138"/>
        <v>5130945.007788185</v>
      </c>
      <c r="AY56" s="1373">
        <f t="shared" si="138"/>
        <v>5212715.9348309217</v>
      </c>
      <c r="AZ56" s="1373">
        <f t="shared" si="138"/>
        <v>5295790.0301008141</v>
      </c>
      <c r="BA56" s="1373">
        <f t="shared" si="138"/>
        <v>5380188.0619502533</v>
      </c>
      <c r="BB56" s="1373">
        <f t="shared" si="138"/>
        <v>5465931.1297130464</v>
      </c>
      <c r="BC56" s="1373">
        <f t="shared" si="138"/>
        <v>5553040.6689791987</v>
      </c>
      <c r="BD56" s="1373">
        <f t="shared" si="138"/>
        <v>5641538.456953777</v>
      </c>
      <c r="BE56" s="1373">
        <f t="shared" si="138"/>
        <v>5731446.6179011539</v>
      </c>
      <c r="BF56" s="1373">
        <f t="shared" si="138"/>
        <v>5822787.628676042</v>
      </c>
      <c r="BG56" s="1373">
        <f t="shared" si="138"/>
        <v>5915584.3243426504</v>
      </c>
      <c r="BH56" s="1373">
        <f t="shared" si="138"/>
        <v>6009859.903883406</v>
      </c>
      <c r="BI56" s="1373">
        <f t="shared" si="138"/>
        <v>6105637.9359986577</v>
      </c>
      <c r="BJ56" s="1373">
        <f t="shared" si="138"/>
        <v>6202942.3649987932</v>
      </c>
      <c r="BK56" s="1373">
        <f t="shared" si="138"/>
        <v>6301797.5167902689</v>
      </c>
    </row>
    <row r="57" spans="1:64" ht="15" x14ac:dyDescent="0.25">
      <c r="P57" s="1377" t="s">
        <v>563</v>
      </c>
      <c r="Q57" s="1373">
        <f t="shared" si="129"/>
        <v>63676.323949091777</v>
      </c>
      <c r="R57" s="1373">
        <f t="shared" si="129"/>
        <v>94324.020095034502</v>
      </c>
      <c r="S57" s="879"/>
      <c r="T57" s="1378"/>
      <c r="U57" s="1373">
        <f t="shared" ref="U57:AO57" si="139">U30-U10</f>
        <v>63676.323949091777</v>
      </c>
      <c r="V57" s="1373">
        <f t="shared" si="139"/>
        <v>65174.135276151297</v>
      </c>
      <c r="W57" s="1373">
        <f t="shared" si="139"/>
        <v>66694.423053714796</v>
      </c>
      <c r="X57" s="1373">
        <f t="shared" si="139"/>
        <v>68237.477920320525</v>
      </c>
      <c r="Y57" s="1373">
        <f t="shared" si="139"/>
        <v>69803.594005291292</v>
      </c>
      <c r="Z57" s="1373">
        <f t="shared" si="139"/>
        <v>71393.068968883541</v>
      </c>
      <c r="AA57" s="1373">
        <f t="shared" si="139"/>
        <v>73006.204042883241</v>
      </c>
      <c r="AB57" s="1373">
        <f t="shared" si="139"/>
        <v>74643.304071657185</v>
      </c>
      <c r="AC57" s="1373">
        <f t="shared" si="139"/>
        <v>76304.677553663147</v>
      </c>
      <c r="AD57" s="1373">
        <f t="shared" si="139"/>
        <v>77990.636683423945</v>
      </c>
      <c r="AE57" s="1373">
        <f t="shared" si="139"/>
        <v>79701.497393968923</v>
      </c>
      <c r="AF57" s="1373">
        <f t="shared" si="139"/>
        <v>81437.579399752722</v>
      </c>
      <c r="AG57" s="1373">
        <f t="shared" si="139"/>
        <v>83199.206240050669</v>
      </c>
      <c r="AH57" s="1373">
        <f t="shared" si="139"/>
        <v>84986.705322839785</v>
      </c>
      <c r="AI57" s="1373">
        <f t="shared" si="139"/>
        <v>86800.40796917025</v>
      </c>
      <c r="AJ57" s="1373">
        <f t="shared" si="139"/>
        <v>88640.649458031112</v>
      </c>
      <c r="AK57" s="1373">
        <f t="shared" si="139"/>
        <v>90507.769071717863</v>
      </c>
      <c r="AL57" s="1373">
        <f t="shared" si="139"/>
        <v>92402.110141705547</v>
      </c>
      <c r="AM57" s="1373">
        <f t="shared" si="139"/>
        <v>94324.020095033513</v>
      </c>
      <c r="AN57" s="1373">
        <f t="shared" si="139"/>
        <v>96273.850501208159</v>
      </c>
      <c r="AO57" s="1373">
        <f t="shared" si="139"/>
        <v>98251.957119627565</v>
      </c>
      <c r="AQ57" s="1373">
        <f t="shared" ref="AQ57:BK57" si="140">U31*265</f>
        <v>2787464.9820931358</v>
      </c>
      <c r="AR57" s="1373">
        <f t="shared" si="140"/>
        <v>2853311.3283654531</v>
      </c>
      <c r="AS57" s="1373">
        <f t="shared" si="140"/>
        <v>2920713.1170721208</v>
      </c>
      <c r="AT57" s="1373">
        <f t="shared" si="140"/>
        <v>2989707.0913477782</v>
      </c>
      <c r="AU57" s="1373">
        <f t="shared" si="140"/>
        <v>3060330.8622845751</v>
      </c>
      <c r="AV57" s="1373">
        <f t="shared" si="140"/>
        <v>3132622.9294353276</v>
      </c>
      <c r="AW57" s="1373">
        <f t="shared" si="140"/>
        <v>3206622.701801009</v>
      </c>
      <c r="AX57" s="1373">
        <f t="shared" si="140"/>
        <v>3282370.5193140064</v>
      </c>
      <c r="AY57" s="1373">
        <f t="shared" si="140"/>
        <v>3359907.6748288716</v>
      </c>
      <c r="AZ57" s="1373">
        <f t="shared" si="140"/>
        <v>3439276.4366325326</v>
      </c>
      <c r="BA57" s="1373">
        <f t="shared" si="140"/>
        <v>3520520.0714862607</v>
      </c>
      <c r="BB57" s="1373">
        <f t="shared" si="140"/>
        <v>3603682.8682119274</v>
      </c>
      <c r="BC57" s="1373">
        <f t="shared" si="140"/>
        <v>3688810.1618354395</v>
      </c>
      <c r="BD57" s="1373">
        <f t="shared" si="140"/>
        <v>3775948.3583004824</v>
      </c>
      <c r="BE57" s="1373">
        <f t="shared" si="140"/>
        <v>3865144.959766069</v>
      </c>
      <c r="BF57" s="1373">
        <f t="shared" si="140"/>
        <v>3956448.5905016731</v>
      </c>
      <c r="BG57" s="1373">
        <f t="shared" si="140"/>
        <v>4049909.0233940608</v>
      </c>
      <c r="BH57" s="1373">
        <f t="shared" si="140"/>
        <v>4145577.2070802781</v>
      </c>
      <c r="BI57" s="1373">
        <f t="shared" si="140"/>
        <v>4243505.2937215883</v>
      </c>
      <c r="BJ57" s="1373">
        <f t="shared" si="140"/>
        <v>4343746.6674334779</v>
      </c>
      <c r="BK57" s="1373">
        <f t="shared" si="140"/>
        <v>4446355.97338726</v>
      </c>
    </row>
    <row r="58" spans="1:64" ht="15" x14ac:dyDescent="0.25">
      <c r="P58" s="1377" t="s">
        <v>567</v>
      </c>
      <c r="Q58" s="1373">
        <f t="shared" si="129"/>
        <v>18.507054920781229</v>
      </c>
      <c r="R58" s="1373">
        <f t="shared" si="129"/>
        <v>-5443.4280036204273</v>
      </c>
      <c r="S58" s="879"/>
      <c r="T58" s="1378"/>
      <c r="U58" s="1373">
        <f t="shared" ref="U58:AO58" si="141">U31-U11</f>
        <v>18.507054920781229</v>
      </c>
      <c r="V58" s="1373">
        <f t="shared" si="141"/>
        <v>-158.28346308332766</v>
      </c>
      <c r="W58" s="1373">
        <f t="shared" si="141"/>
        <v>-346.4280378405565</v>
      </c>
      <c r="X58" s="1373">
        <f t="shared" si="141"/>
        <v>-546.48558704843344</v>
      </c>
      <c r="Y58" s="1373">
        <f t="shared" si="141"/>
        <v>-759.04000525373704</v>
      </c>
      <c r="Z58" s="1373">
        <f t="shared" si="141"/>
        <v>-984.70123071622038</v>
      </c>
      <c r="AA58" s="1373">
        <f t="shared" si="141"/>
        <v>-1224.1063567869933</v>
      </c>
      <c r="AB58" s="1373">
        <f t="shared" si="141"/>
        <v>-1477.9207896353764</v>
      </c>
      <c r="AC58" s="1373">
        <f t="shared" si="141"/>
        <v>-1746.8394542328479</v>
      </c>
      <c r="AD58" s="1373">
        <f t="shared" si="141"/>
        <v>-2031.5880505809218</v>
      </c>
      <c r="AE58" s="1373">
        <f t="shared" si="141"/>
        <v>-2332.9243622509475</v>
      </c>
      <c r="AF58" s="1373">
        <f t="shared" si="141"/>
        <v>-2651.639619388372</v>
      </c>
      <c r="AG58" s="1373">
        <f t="shared" si="141"/>
        <v>-2988.5599184219591</v>
      </c>
      <c r="AH58" s="1373">
        <f t="shared" si="141"/>
        <v>-3344.5477008100897</v>
      </c>
      <c r="AI58" s="1373">
        <f t="shared" si="141"/>
        <v>-3720.5032932514896</v>
      </c>
      <c r="AJ58" s="1373">
        <f t="shared" si="141"/>
        <v>-4117.3665118869212</v>
      </c>
      <c r="AK58" s="1373">
        <f t="shared" si="141"/>
        <v>-4536.1183331216143</v>
      </c>
      <c r="AL58" s="1373">
        <f t="shared" si="141"/>
        <v>-4977.782633805522</v>
      </c>
      <c r="AM58" s="1373">
        <f t="shared" si="141"/>
        <v>-5443.4280036204054</v>
      </c>
      <c r="AN58" s="1373">
        <f t="shared" si="141"/>
        <v>-5934.169632638972</v>
      </c>
      <c r="AO58" s="1373">
        <f t="shared" si="141"/>
        <v>-6451.171277142359</v>
      </c>
      <c r="AQ58" s="1373">
        <f t="shared" ref="AQ58:BK58" si="142">U33*365</f>
        <v>963393.61397058831</v>
      </c>
      <c r="AR58" s="1373">
        <f t="shared" si="142"/>
        <v>995321.63278624869</v>
      </c>
      <c r="AS58" s="1373">
        <f t="shared" si="142"/>
        <v>1028307.7844052723</v>
      </c>
      <c r="AT58" s="1373">
        <f t="shared" si="142"/>
        <v>1062387.136616739</v>
      </c>
      <c r="AU58" s="1373">
        <f t="shared" si="142"/>
        <v>1097595.9193982806</v>
      </c>
      <c r="AV58" s="1373">
        <f t="shared" si="142"/>
        <v>1133971.5634324024</v>
      </c>
      <c r="AW58" s="1373">
        <f t="shared" si="142"/>
        <v>1171552.7398992819</v>
      </c>
      <c r="AX58" s="1373">
        <f t="shared" si="142"/>
        <v>1210379.401588348</v>
      </c>
      <c r="AY58" s="1373">
        <f t="shared" si="142"/>
        <v>1250492.8253723467</v>
      </c>
      <c r="AZ58" s="1373">
        <f t="shared" si="142"/>
        <v>1291935.6560890505</v>
      </c>
      <c r="BA58" s="1373">
        <f t="shared" si="142"/>
        <v>1334751.9518772564</v>
      </c>
      <c r="BB58" s="1373">
        <f t="shared" si="142"/>
        <v>1378987.231015278</v>
      </c>
      <c r="BC58" s="1373">
        <f t="shared" si="142"/>
        <v>1424688.5203117165</v>
      </c>
      <c r="BD58" s="1373">
        <f t="shared" si="142"/>
        <v>1471904.4050999628</v>
      </c>
      <c r="BE58" s="1373">
        <f t="shared" si="142"/>
        <v>1520685.080889578</v>
      </c>
      <c r="BF58" s="1373">
        <f t="shared" si="142"/>
        <v>1571082.4067294588</v>
      </c>
      <c r="BG58" s="1373">
        <f t="shared" si="142"/>
        <v>1623149.9603395271</v>
      </c>
      <c r="BH58" s="1373">
        <f t="shared" si="142"/>
        <v>1676943.0950695453</v>
      </c>
      <c r="BI58" s="1373">
        <f t="shared" si="142"/>
        <v>1732518.998745617</v>
      </c>
      <c r="BJ58" s="1373">
        <f t="shared" si="142"/>
        <v>1789936.7544669327</v>
      </c>
      <c r="BK58" s="1373">
        <f t="shared" si="142"/>
        <v>1849257.4034173908</v>
      </c>
    </row>
    <row r="59" spans="1:64" ht="15" x14ac:dyDescent="0.25">
      <c r="P59" s="1380" t="s">
        <v>564</v>
      </c>
      <c r="Q59" s="1373">
        <f t="shared" si="129"/>
        <v>-11494.496771510792</v>
      </c>
      <c r="R59" s="1373">
        <f t="shared" si="129"/>
        <v>30639.993929887132</v>
      </c>
      <c r="S59" s="879"/>
      <c r="T59" s="1378"/>
      <c r="U59" s="1373">
        <f t="shared" ref="U59:AO59" si="143">U32-U12</f>
        <v>-11494.496771510792</v>
      </c>
      <c r="V59" s="1373">
        <f t="shared" si="143"/>
        <v>-9680.4681705797557</v>
      </c>
      <c r="W59" s="1373">
        <f t="shared" si="143"/>
        <v>-7812.0944087447715</v>
      </c>
      <c r="X59" s="1373">
        <f t="shared" si="143"/>
        <v>-5888.0652273364685</v>
      </c>
      <c r="Y59" s="1373">
        <f t="shared" si="143"/>
        <v>-3907.0403396371403</v>
      </c>
      <c r="Z59" s="1373">
        <f t="shared" si="143"/>
        <v>-1867.6487522498064</v>
      </c>
      <c r="AA59" s="1373">
        <f t="shared" si="143"/>
        <v>231.51192880838062</v>
      </c>
      <c r="AB59" s="1373">
        <f t="shared" si="143"/>
        <v>2391.8762076320709</v>
      </c>
      <c r="AC59" s="1373">
        <f t="shared" si="143"/>
        <v>4614.9114239236515</v>
      </c>
      <c r="AD59" s="1373">
        <f t="shared" si="143"/>
        <v>6902.1184948187147</v>
      </c>
      <c r="AE59" s="1373">
        <f t="shared" si="143"/>
        <v>9255.0326734082191</v>
      </c>
      <c r="AF59" s="1373">
        <f t="shared" si="143"/>
        <v>11675.224324332172</v>
      </c>
      <c r="AG59" s="1373">
        <f t="shared" si="143"/>
        <v>14164.299716829264</v>
      </c>
      <c r="AH59" s="1373">
        <f t="shared" si="143"/>
        <v>16723.901835634286</v>
      </c>
      <c r="AI59" s="1373">
        <f t="shared" si="143"/>
        <v>19355.711210125766</v>
      </c>
      <c r="AJ59" s="1373">
        <f t="shared" si="143"/>
        <v>22061.446762132429</v>
      </c>
      <c r="AK59" s="1373">
        <f t="shared" si="143"/>
        <v>24842.866672819364</v>
      </c>
      <c r="AL59" s="1373">
        <f t="shared" si="143"/>
        <v>27701.769269081997</v>
      </c>
      <c r="AM59" s="1373">
        <f t="shared" si="143"/>
        <v>30639.993929887394</v>
      </c>
      <c r="AN59" s="1373">
        <f t="shared" si="143"/>
        <v>33659.422013010015</v>
      </c>
      <c r="AO59" s="1373">
        <f t="shared" si="143"/>
        <v>36761.977802621637</v>
      </c>
    </row>
    <row r="60" spans="1:64" ht="15" x14ac:dyDescent="0.25">
      <c r="P60" s="1380" t="s">
        <v>568</v>
      </c>
      <c r="Q60" s="1373">
        <f t="shared" si="129"/>
        <v>-729.75109579339232</v>
      </c>
      <c r="R60" s="1373">
        <f t="shared" si="129"/>
        <v>-2092.0077358060244</v>
      </c>
      <c r="S60" s="879"/>
      <c r="T60" s="1378"/>
      <c r="U60" s="1373">
        <f t="shared" ref="U60:AO60" si="144">U33-U13</f>
        <v>-729.75109579339232</v>
      </c>
      <c r="V60" s="1373">
        <f t="shared" si="144"/>
        <v>-777.42299636966027</v>
      </c>
      <c r="W60" s="1373">
        <f t="shared" si="144"/>
        <v>-827.61692241602668</v>
      </c>
      <c r="X60" s="1373">
        <f t="shared" si="144"/>
        <v>-880.45424758023</v>
      </c>
      <c r="Y60" s="1373">
        <f t="shared" si="144"/>
        <v>-936.06188385165433</v>
      </c>
      <c r="Z60" s="1373">
        <f t="shared" si="144"/>
        <v>-994.57252591384122</v>
      </c>
      <c r="AA60" s="1373">
        <f t="shared" si="144"/>
        <v>-1056.1249060341829</v>
      </c>
      <c r="AB60" s="1373">
        <f t="shared" si="144"/>
        <v>-1120.8640599378314</v>
      </c>
      <c r="AC60" s="1373">
        <f t="shared" si="144"/>
        <v>-1188.9416041316404</v>
      </c>
      <c r="AD60" s="1373">
        <f t="shared" si="144"/>
        <v>-1260.5160251634115</v>
      </c>
      <c r="AE60" s="1373">
        <f t="shared" si="144"/>
        <v>-1335.7529813221227</v>
      </c>
      <c r="AF60" s="1373">
        <f t="shared" si="144"/>
        <v>-1414.8256173059208</v>
      </c>
      <c r="AG60" s="1373">
        <f t="shared" si="144"/>
        <v>-1497.914892406764</v>
      </c>
      <c r="AH60" s="1373">
        <f t="shared" si="144"/>
        <v>-1585.209922783516</v>
      </c>
      <c r="AI60" s="1373">
        <f t="shared" si="144"/>
        <v>-1676.9083384192882</v>
      </c>
      <c r="AJ60" s="1373">
        <f t="shared" si="144"/>
        <v>-1773.2166553836378</v>
      </c>
      <c r="AK60" s="1373">
        <f t="shared" si="144"/>
        <v>-1874.3506640462901</v>
      </c>
      <c r="AL60" s="1373">
        <f t="shared" si="144"/>
        <v>-1980.5358339159502</v>
      </c>
      <c r="AM60" s="1373">
        <f t="shared" si="144"/>
        <v>-2092.007735806038</v>
      </c>
      <c r="AN60" s="1373">
        <f t="shared" si="144"/>
        <v>-2209.0124820583624</v>
      </c>
      <c r="AO60" s="1373">
        <f t="shared" si="144"/>
        <v>-2331.80718558637</v>
      </c>
    </row>
    <row r="61" spans="1:64" ht="15" x14ac:dyDescent="0.25">
      <c r="T61" s="1383"/>
    </row>
    <row r="62" spans="1:64" ht="15" x14ac:dyDescent="0.25">
      <c r="A62" s="604" t="s">
        <v>849</v>
      </c>
    </row>
    <row r="63" spans="1:64" ht="21" x14ac:dyDescent="0.35">
      <c r="B63" s="260"/>
      <c r="C63" s="273" t="s">
        <v>822</v>
      </c>
      <c r="D63" s="273"/>
      <c r="E63" s="273"/>
      <c r="H63" s="865" t="s">
        <v>502</v>
      </c>
      <c r="I63" s="1368"/>
      <c r="J63" s="1368"/>
      <c r="K63" s="1367"/>
      <c r="M63" s="282"/>
      <c r="N63" s="282"/>
      <c r="P63" s="861" t="s">
        <v>502</v>
      </c>
      <c r="U63" s="1911" t="s">
        <v>849</v>
      </c>
      <c r="V63" s="1911"/>
      <c r="W63" s="1911"/>
      <c r="X63" s="1911"/>
      <c r="Y63" s="1911"/>
      <c r="Z63" s="1911"/>
      <c r="AA63" s="1911"/>
      <c r="AB63" s="1911"/>
      <c r="AC63" s="1911"/>
      <c r="AD63" s="1911"/>
      <c r="AE63" s="1911"/>
      <c r="AF63" s="1911"/>
      <c r="AG63" s="1911"/>
      <c r="AH63" s="1911"/>
      <c r="AI63" s="1911"/>
      <c r="AJ63" s="1911"/>
      <c r="AK63" s="1911"/>
      <c r="AL63" s="1911"/>
      <c r="AQ63" s="1911" t="s">
        <v>517</v>
      </c>
      <c r="AR63" s="1911"/>
      <c r="AS63" s="1911"/>
      <c r="AT63" s="1911"/>
      <c r="AU63" s="1911"/>
      <c r="AV63" s="1911"/>
      <c r="AW63" s="1911"/>
      <c r="AX63" s="1911"/>
      <c r="AY63" s="1911"/>
      <c r="AZ63" s="1911"/>
      <c r="BA63" s="1911"/>
      <c r="BB63" s="1911"/>
      <c r="BC63" s="1911"/>
      <c r="BD63" s="1911"/>
      <c r="BE63" s="1911"/>
      <c r="BF63" s="1911"/>
      <c r="BG63" s="1911"/>
      <c r="BH63" s="1911"/>
    </row>
    <row r="64" spans="1:64" ht="15.75" customHeight="1" x14ac:dyDescent="0.25">
      <c r="B64" s="604" t="s">
        <v>823</v>
      </c>
      <c r="C64" s="255" t="s">
        <v>849</v>
      </c>
      <c r="D64" s="255"/>
      <c r="E64" s="255"/>
      <c r="F64" s="1370">
        <v>2023</v>
      </c>
      <c r="G64" s="1370">
        <v>2040</v>
      </c>
      <c r="H64" s="862" t="s">
        <v>0</v>
      </c>
      <c r="I64" s="1370">
        <v>2023</v>
      </c>
      <c r="J64" s="1370">
        <v>2041</v>
      </c>
      <c r="K64" s="1369"/>
      <c r="L64" s="1370">
        <v>2023</v>
      </c>
      <c r="M64" s="1370">
        <v>2040</v>
      </c>
      <c r="N64" s="1370" t="s">
        <v>840</v>
      </c>
      <c r="P64" s="862" t="s">
        <v>0</v>
      </c>
      <c r="Q64" s="1370">
        <v>2023</v>
      </c>
      <c r="R64" s="1370">
        <v>2041</v>
      </c>
      <c r="S64" s="1370" t="s">
        <v>211</v>
      </c>
      <c r="T64" s="1372"/>
      <c r="U64" s="1370">
        <f>2023</f>
        <v>2023</v>
      </c>
      <c r="V64" s="1370">
        <f>U64+1</f>
        <v>2024</v>
      </c>
      <c r="W64" s="1370">
        <f t="shared" ref="W64:AL64" si="145">V64+1</f>
        <v>2025</v>
      </c>
      <c r="X64" s="1370">
        <f t="shared" si="145"/>
        <v>2026</v>
      </c>
      <c r="Y64" s="1370">
        <f t="shared" si="145"/>
        <v>2027</v>
      </c>
      <c r="Z64" s="1370">
        <f t="shared" si="145"/>
        <v>2028</v>
      </c>
      <c r="AA64" s="1370">
        <f t="shared" si="145"/>
        <v>2029</v>
      </c>
      <c r="AB64" s="1370">
        <f t="shared" si="145"/>
        <v>2030</v>
      </c>
      <c r="AC64" s="1370">
        <f t="shared" si="145"/>
        <v>2031</v>
      </c>
      <c r="AD64" s="1370">
        <f t="shared" si="145"/>
        <v>2032</v>
      </c>
      <c r="AE64" s="1370">
        <f t="shared" si="145"/>
        <v>2033</v>
      </c>
      <c r="AF64" s="1370">
        <f t="shared" si="145"/>
        <v>2034</v>
      </c>
      <c r="AG64" s="1370">
        <f t="shared" si="145"/>
        <v>2035</v>
      </c>
      <c r="AH64" s="1370">
        <f t="shared" si="145"/>
        <v>2036</v>
      </c>
      <c r="AI64" s="1370">
        <f t="shared" si="145"/>
        <v>2037</v>
      </c>
      <c r="AJ64" s="1370">
        <f t="shared" si="145"/>
        <v>2038</v>
      </c>
      <c r="AK64" s="1370">
        <f t="shared" si="145"/>
        <v>2039</v>
      </c>
      <c r="AL64" s="1370">
        <f t="shared" si="145"/>
        <v>2040</v>
      </c>
      <c r="AM64" s="1370">
        <f t="shared" ref="AM64" si="146">AL64+1</f>
        <v>2041</v>
      </c>
      <c r="AN64" s="1370">
        <f t="shared" ref="AN64" si="147">AM64+1</f>
        <v>2042</v>
      </c>
      <c r="AO64" s="1370">
        <f t="shared" ref="AO64" si="148">AN64+1</f>
        <v>2043</v>
      </c>
      <c r="AP64" s="253"/>
      <c r="AQ64" s="1370">
        <f>2023</f>
        <v>2023</v>
      </c>
      <c r="AR64" s="1370">
        <f>AQ64+1</f>
        <v>2024</v>
      </c>
      <c r="AS64" s="1370">
        <f t="shared" ref="AS64:BH64" si="149">AR64+1</f>
        <v>2025</v>
      </c>
      <c r="AT64" s="1370">
        <f t="shared" si="149"/>
        <v>2026</v>
      </c>
      <c r="AU64" s="1370">
        <f t="shared" si="149"/>
        <v>2027</v>
      </c>
      <c r="AV64" s="1370">
        <f t="shared" si="149"/>
        <v>2028</v>
      </c>
      <c r="AW64" s="1370">
        <f t="shared" si="149"/>
        <v>2029</v>
      </c>
      <c r="AX64" s="1370">
        <f t="shared" si="149"/>
        <v>2030</v>
      </c>
      <c r="AY64" s="1370">
        <f t="shared" si="149"/>
        <v>2031</v>
      </c>
      <c r="AZ64" s="1370">
        <f t="shared" si="149"/>
        <v>2032</v>
      </c>
      <c r="BA64" s="1370">
        <f t="shared" si="149"/>
        <v>2033</v>
      </c>
      <c r="BB64" s="1370">
        <f t="shared" si="149"/>
        <v>2034</v>
      </c>
      <c r="BC64" s="1370">
        <f t="shared" si="149"/>
        <v>2035</v>
      </c>
      <c r="BD64" s="1370">
        <f t="shared" si="149"/>
        <v>2036</v>
      </c>
      <c r="BE64" s="1370">
        <f t="shared" si="149"/>
        <v>2037</v>
      </c>
      <c r="BF64" s="1370">
        <f t="shared" si="149"/>
        <v>2038</v>
      </c>
      <c r="BG64" s="1370">
        <f t="shared" si="149"/>
        <v>2039</v>
      </c>
      <c r="BH64" s="1370">
        <f t="shared" si="149"/>
        <v>2040</v>
      </c>
      <c r="BI64" s="1370">
        <f t="shared" ref="BI64" si="150">BH64+1</f>
        <v>2041</v>
      </c>
      <c r="BJ64" s="1370">
        <f t="shared" ref="BJ64" si="151">BI64+1</f>
        <v>2042</v>
      </c>
      <c r="BK64" s="1370">
        <f t="shared" ref="BK64" si="152">BJ64+1</f>
        <v>2043</v>
      </c>
    </row>
    <row r="65" spans="2:63" ht="15" x14ac:dyDescent="0.25">
      <c r="C65" s="254" t="s">
        <v>348</v>
      </c>
      <c r="D65" s="254" t="s">
        <v>347</v>
      </c>
      <c r="E65" s="254"/>
      <c r="F65" s="870">
        <f>C66</f>
        <v>536748.15858284058</v>
      </c>
      <c r="G65" s="870">
        <f>C67</f>
        <v>605382.3529411765</v>
      </c>
      <c r="H65" s="863" t="s">
        <v>573</v>
      </c>
      <c r="I65" s="864">
        <f>F65*L65</f>
        <v>277678.46815571038</v>
      </c>
      <c r="J65" s="864">
        <f>G65*M65</f>
        <v>324923.99261509377</v>
      </c>
      <c r="K65" s="1375"/>
      <c r="L65" s="1376">
        <f>L6</f>
        <v>0.5173347383041913</v>
      </c>
      <c r="M65" s="1376">
        <f>M6</f>
        <v>0.53672524650989595</v>
      </c>
      <c r="N65" s="1376">
        <f>N6</f>
        <v>0.52702999240704362</v>
      </c>
      <c r="P65" s="863" t="s">
        <v>573</v>
      </c>
      <c r="Q65" s="864">
        <f>I65</f>
        <v>277678.46815571038</v>
      </c>
      <c r="R65" s="864">
        <f>J65</f>
        <v>324923.99261509377</v>
      </c>
      <c r="S65" s="879">
        <f>(R65/Q65)^(1/($R$64-$Q$64))-1</f>
        <v>8.767513190123255E-3</v>
      </c>
      <c r="T65" s="1378"/>
      <c r="U65" s="1373">
        <f>$Q65*(1+$S65)^(U$64-$Q$64)</f>
        <v>277678.46815571038</v>
      </c>
      <c r="V65" s="1373">
        <f t="shared" ref="V65:AM68" si="153">$Q65*(1+$S65)^(V$64-$Q$64)</f>
        <v>280113.01778787881</v>
      </c>
      <c r="W65" s="1373">
        <f t="shared" si="153"/>
        <v>282568.91236605926</v>
      </c>
      <c r="X65" s="1373">
        <f t="shared" si="153"/>
        <v>285046.33903234743</v>
      </c>
      <c r="Y65" s="1373">
        <f t="shared" si="153"/>
        <v>287545.4865696099</v>
      </c>
      <c r="Z65" s="1373">
        <f t="shared" si="153"/>
        <v>290066.54541586939</v>
      </c>
      <c r="AA65" s="1373">
        <f t="shared" si="153"/>
        <v>292609.70767881651</v>
      </c>
      <c r="AB65" s="1373">
        <f t="shared" si="153"/>
        <v>295175.1671504486</v>
      </c>
      <c r="AC65" s="1373">
        <f t="shared" si="153"/>
        <v>297763.11932183703</v>
      </c>
      <c r="AD65" s="1373">
        <f t="shared" si="153"/>
        <v>300373.76139802346</v>
      </c>
      <c r="AE65" s="1373">
        <f t="shared" si="153"/>
        <v>303007.29231304763</v>
      </c>
      <c r="AF65" s="1373">
        <f t="shared" si="153"/>
        <v>305663.9127451058</v>
      </c>
      <c r="AG65" s="1373">
        <f t="shared" si="153"/>
        <v>308343.82513184322</v>
      </c>
      <c r="AH65" s="1373">
        <f t="shared" si="153"/>
        <v>311047.23368577973</v>
      </c>
      <c r="AI65" s="1373">
        <f t="shared" si="153"/>
        <v>313774.34440987115</v>
      </c>
      <c r="AJ65" s="1373">
        <f t="shared" si="153"/>
        <v>316525.36511320691</v>
      </c>
      <c r="AK65" s="1373">
        <f t="shared" si="153"/>
        <v>319300.50542684557</v>
      </c>
      <c r="AL65" s="1373">
        <f t="shared" si="153"/>
        <v>322099.97681978851</v>
      </c>
      <c r="AM65" s="1373">
        <f t="shared" si="153"/>
        <v>324923.99261509435</v>
      </c>
      <c r="AN65" s="1373">
        <f t="shared" ref="AM65:AO68" si="154">$Q65*(1+$S65)^(AN$64-$Q$64)</f>
        <v>327772.76800613472</v>
      </c>
      <c r="AO65" s="1373">
        <f t="shared" si="154"/>
        <v>330646.52007299173</v>
      </c>
      <c r="AQ65" s="1373">
        <f t="shared" ref="AQ65:AZ66" si="155">U65*315</f>
        <v>87468717.469048768</v>
      </c>
      <c r="AR65" s="1373">
        <f t="shared" si="155"/>
        <v>88235600.603181824</v>
      </c>
      <c r="AS65" s="1373">
        <f t="shared" si="155"/>
        <v>89009207.395308673</v>
      </c>
      <c r="AT65" s="1373">
        <f t="shared" si="155"/>
        <v>89789596.79518944</v>
      </c>
      <c r="AU65" s="1373">
        <f t="shared" si="155"/>
        <v>90576828.269427121</v>
      </c>
      <c r="AV65" s="1373">
        <f t="shared" si="155"/>
        <v>91370961.805998862</v>
      </c>
      <c r="AW65" s="1373">
        <f t="shared" si="155"/>
        <v>92172057.918827206</v>
      </c>
      <c r="AX65" s="1373">
        <f t="shared" si="155"/>
        <v>92980177.652391315</v>
      </c>
      <c r="AY65" s="1373">
        <f t="shared" si="155"/>
        <v>93795382.586378664</v>
      </c>
      <c r="AZ65" s="1373">
        <f t="shared" si="155"/>
        <v>94617734.84037739</v>
      </c>
      <c r="BA65" s="1373">
        <f t="shared" ref="BA65:BH66" si="156">AE65*315</f>
        <v>95447297.078610003</v>
      </c>
      <c r="BB65" s="1373">
        <f t="shared" si="156"/>
        <v>96284132.514708325</v>
      </c>
      <c r="BC65" s="1373">
        <f t="shared" si="156"/>
        <v>97128304.916530609</v>
      </c>
      <c r="BD65" s="1373">
        <f t="shared" si="156"/>
        <v>97979878.61102061</v>
      </c>
      <c r="BE65" s="1373">
        <f t="shared" si="156"/>
        <v>98838918.489109412</v>
      </c>
      <c r="BF65" s="1373">
        <f t="shared" si="156"/>
        <v>99705490.010660172</v>
      </c>
      <c r="BG65" s="1373">
        <f t="shared" si="156"/>
        <v>100579659.20945635</v>
      </c>
      <c r="BH65" s="1373">
        <f t="shared" si="156"/>
        <v>101461492.69823338</v>
      </c>
      <c r="BI65" s="1373">
        <f t="shared" ref="BI65:BK66" si="157">AM65*315</f>
        <v>102351057.67375472</v>
      </c>
      <c r="BJ65" s="1373">
        <f t="shared" si="157"/>
        <v>103248421.92193244</v>
      </c>
      <c r="BK65" s="1373">
        <f t="shared" si="157"/>
        <v>104153653.8229924</v>
      </c>
    </row>
    <row r="66" spans="2:63" ht="15" x14ac:dyDescent="0.25">
      <c r="B66" s="574" t="s">
        <v>826</v>
      </c>
      <c r="C66" s="285">
        <f>VMT.VHT.ADT.Change!E8</f>
        <v>536748.15858284058</v>
      </c>
      <c r="D66" s="285">
        <f>VMT.VHT.ADT.Change!H8</f>
        <v>31190.192018829701</v>
      </c>
      <c r="E66" s="285"/>
      <c r="F66" s="870">
        <f>C66</f>
        <v>536748.15858284058</v>
      </c>
      <c r="G66" s="870">
        <f>C67</f>
        <v>605382.3529411765</v>
      </c>
      <c r="H66" s="864" t="s">
        <v>574</v>
      </c>
      <c r="I66" s="864">
        <f t="shared" ref="I66:J67" si="158">F66*L66</f>
        <v>150436.72621817401</v>
      </c>
      <c r="J66" s="864">
        <f t="shared" si="158"/>
        <v>153569.38359556941</v>
      </c>
      <c r="K66" s="1375"/>
      <c r="L66" s="1376">
        <f>L8</f>
        <v>0.28027432197507191</v>
      </c>
      <c r="M66" s="1376">
        <f>M8</f>
        <v>0.25367337328131756</v>
      </c>
      <c r="N66" s="1376">
        <f>N8</f>
        <v>0.26697384762819476</v>
      </c>
      <c r="P66" s="864" t="s">
        <v>574</v>
      </c>
      <c r="Q66" s="864">
        <f t="shared" ref="Q66:R68" si="159">I66</f>
        <v>150436.72621817401</v>
      </c>
      <c r="R66" s="864">
        <f t="shared" si="159"/>
        <v>153569.38359556941</v>
      </c>
      <c r="S66" s="879">
        <f t="shared" ref="S66:S68" si="160">(R66/Q66)^(1/($R$64-$Q$64))-1</f>
        <v>1.1456503849025523E-3</v>
      </c>
      <c r="T66" s="1378"/>
      <c r="U66" s="1373">
        <f t="shared" ref="U66:U68" si="161">$Q66*(1+$S66)^(U$64-$Q$64)</f>
        <v>150436.72621817401</v>
      </c>
      <c r="V66" s="1373">
        <f t="shared" si="153"/>
        <v>150609.07411146935</v>
      </c>
      <c r="W66" s="1373">
        <f t="shared" si="153"/>
        <v>150781.61945519494</v>
      </c>
      <c r="X66" s="1373">
        <f t="shared" si="153"/>
        <v>150954.36247556005</v>
      </c>
      <c r="Y66" s="1373">
        <f t="shared" si="153"/>
        <v>151127.30339903285</v>
      </c>
      <c r="Z66" s="1373">
        <f t="shared" si="153"/>
        <v>151300.44245234123</v>
      </c>
      <c r="AA66" s="1373">
        <f t="shared" si="153"/>
        <v>151473.7798624727</v>
      </c>
      <c r="AB66" s="1373">
        <f t="shared" si="153"/>
        <v>151647.3158566748</v>
      </c>
      <c r="AC66" s="1373">
        <f t="shared" si="153"/>
        <v>151821.05066245541</v>
      </c>
      <c r="AD66" s="1373">
        <f t="shared" si="153"/>
        <v>151994.98450758314</v>
      </c>
      <c r="AE66" s="1373">
        <f t="shared" si="153"/>
        <v>152169.11762008752</v>
      </c>
      <c r="AF66" s="1373">
        <f t="shared" si="153"/>
        <v>152343.45022825929</v>
      </c>
      <c r="AG66" s="1373">
        <f t="shared" si="153"/>
        <v>152517.98256065062</v>
      </c>
      <c r="AH66" s="1373">
        <f t="shared" si="153"/>
        <v>152692.7148460758</v>
      </c>
      <c r="AI66" s="1373">
        <f t="shared" si="153"/>
        <v>152867.64731361103</v>
      </c>
      <c r="AJ66" s="1373">
        <f t="shared" si="153"/>
        <v>153042.780192595</v>
      </c>
      <c r="AK66" s="1373">
        <f t="shared" si="153"/>
        <v>153218.11371262922</v>
      </c>
      <c r="AL66" s="1373">
        <f t="shared" si="153"/>
        <v>153393.64810357813</v>
      </c>
      <c r="AM66" s="1373">
        <f t="shared" si="154"/>
        <v>153569.38359556961</v>
      </c>
      <c r="AN66" s="1373">
        <f t="shared" si="154"/>
        <v>153745.32041899514</v>
      </c>
      <c r="AO66" s="1373">
        <f t="shared" si="154"/>
        <v>153921.45880451007</v>
      </c>
      <c r="AQ66" s="1373">
        <f t="shared" si="155"/>
        <v>47387568.758724816</v>
      </c>
      <c r="AR66" s="1373">
        <f t="shared" si="155"/>
        <v>47441858.345112845</v>
      </c>
      <c r="AS66" s="1373">
        <f t="shared" si="155"/>
        <v>47496210.128386408</v>
      </c>
      <c r="AT66" s="1373">
        <f t="shared" si="155"/>
        <v>47550624.179801412</v>
      </c>
      <c r="AU66" s="1373">
        <f t="shared" si="155"/>
        <v>47605100.570695348</v>
      </c>
      <c r="AV66" s="1373">
        <f t="shared" si="155"/>
        <v>47659639.372487485</v>
      </c>
      <c r="AW66" s="1373">
        <f t="shared" si="155"/>
        <v>47714240.6566789</v>
      </c>
      <c r="AX66" s="1373">
        <f t="shared" si="155"/>
        <v>47768904.494852565</v>
      </c>
      <c r="AY66" s="1373">
        <f t="shared" si="155"/>
        <v>47823630.958673455</v>
      </c>
      <c r="AZ66" s="1373">
        <f t="shared" si="155"/>
        <v>47878420.119888686</v>
      </c>
      <c r="BA66" s="1373">
        <f t="shared" si="156"/>
        <v>47933272.050327569</v>
      </c>
      <c r="BB66" s="1373">
        <f t="shared" si="156"/>
        <v>47988186.821901679</v>
      </c>
      <c r="BC66" s="1373">
        <f t="shared" si="156"/>
        <v>48043164.506604947</v>
      </c>
      <c r="BD66" s="1373">
        <f t="shared" si="156"/>
        <v>48098205.17651388</v>
      </c>
      <c r="BE66" s="1373">
        <f t="shared" si="156"/>
        <v>48153308.903787471</v>
      </c>
      <c r="BF66" s="1373">
        <f t="shared" si="156"/>
        <v>48208475.760667428</v>
      </c>
      <c r="BG66" s="1373">
        <f t="shared" si="156"/>
        <v>48263705.819478206</v>
      </c>
      <c r="BH66" s="1373">
        <f t="shared" si="156"/>
        <v>48318999.15262711</v>
      </c>
      <c r="BI66" s="1373">
        <f t="shared" si="157"/>
        <v>48374355.832604431</v>
      </c>
      <c r="BJ66" s="1373">
        <f t="shared" si="157"/>
        <v>48429775.931983471</v>
      </c>
      <c r="BK66" s="1373">
        <f t="shared" si="157"/>
        <v>48485259.523420669</v>
      </c>
    </row>
    <row r="67" spans="2:63" ht="15" x14ac:dyDescent="0.25">
      <c r="B67" s="574" t="s">
        <v>827</v>
      </c>
      <c r="C67" s="285">
        <f>VMT.VHT.ADT.Change!E9</f>
        <v>605382.3529411765</v>
      </c>
      <c r="D67" s="285">
        <f>VMT.VHT.ADT.Change!H9</f>
        <v>34647.058823529413</v>
      </c>
      <c r="E67" s="285"/>
      <c r="F67" s="870">
        <f>C66</f>
        <v>536748.15858284058</v>
      </c>
      <c r="G67" s="870">
        <f>C67</f>
        <v>605382.3529411765</v>
      </c>
      <c r="H67" s="864" t="s">
        <v>575</v>
      </c>
      <c r="I67" s="864">
        <f t="shared" si="158"/>
        <v>108632.96420895611</v>
      </c>
      <c r="J67" s="864">
        <f t="shared" si="158"/>
        <v>126888.97673051324</v>
      </c>
      <c r="K67" s="1375"/>
      <c r="L67" s="1376">
        <f>L10</f>
        <v>0.20239093972073668</v>
      </c>
      <c r="M67" s="1376">
        <f>M10</f>
        <v>0.20960138020878638</v>
      </c>
      <c r="N67" s="1376">
        <f>N10</f>
        <v>0.20599615996476153</v>
      </c>
      <c r="P67" s="864" t="s">
        <v>575</v>
      </c>
      <c r="Q67" s="864">
        <f t="shared" si="159"/>
        <v>108632.96420895611</v>
      </c>
      <c r="R67" s="864">
        <f t="shared" si="159"/>
        <v>126888.97673051324</v>
      </c>
      <c r="S67" s="879">
        <f t="shared" si="160"/>
        <v>8.6672116443298197E-3</v>
      </c>
      <c r="T67" s="1378"/>
      <c r="U67" s="1373">
        <f t="shared" si="161"/>
        <v>108632.96420895611</v>
      </c>
      <c r="V67" s="1373">
        <f t="shared" si="153"/>
        <v>109574.50910130604</v>
      </c>
      <c r="W67" s="1373">
        <f t="shared" si="153"/>
        <v>110524.21456251061</v>
      </c>
      <c r="X67" s="1373">
        <f t="shared" si="153"/>
        <v>111482.1513219472</v>
      </c>
      <c r="Y67" s="1373">
        <f t="shared" si="153"/>
        <v>112448.39072201973</v>
      </c>
      <c r="Z67" s="1373">
        <f t="shared" si="153"/>
        <v>113423.00472347176</v>
      </c>
      <c r="AA67" s="1373">
        <f t="shared" si="153"/>
        <v>114406.06591074592</v>
      </c>
      <c r="AB67" s="1373">
        <f t="shared" si="153"/>
        <v>115397.64749738949</v>
      </c>
      <c r="AC67" s="1373">
        <f t="shared" si="153"/>
        <v>116397.82333150714</v>
      </c>
      <c r="AD67" s="1373">
        <f t="shared" si="153"/>
        <v>117406.66790126063</v>
      </c>
      <c r="AE67" s="1373">
        <f t="shared" si="153"/>
        <v>118424.25634041641</v>
      </c>
      <c r="AF67" s="1373">
        <f t="shared" si="153"/>
        <v>119450.66443394116</v>
      </c>
      <c r="AG67" s="1373">
        <f t="shared" si="153"/>
        <v>120485.96862364595</v>
      </c>
      <c r="AH67" s="1373">
        <f t="shared" si="153"/>
        <v>121530.24601387916</v>
      </c>
      <c r="AI67" s="1373">
        <f t="shared" si="153"/>
        <v>122583.57437726895</v>
      </c>
      <c r="AJ67" s="1373">
        <f t="shared" si="153"/>
        <v>123646.03216051517</v>
      </c>
      <c r="AK67" s="1373">
        <f t="shared" si="153"/>
        <v>124717.69849023198</v>
      </c>
      <c r="AL67" s="1373">
        <f t="shared" si="153"/>
        <v>125798.65317884054</v>
      </c>
      <c r="AM67" s="1373">
        <f t="shared" si="154"/>
        <v>126888.9767305132</v>
      </c>
      <c r="AN67" s="1373">
        <f t="shared" si="154"/>
        <v>127988.75034716899</v>
      </c>
      <c r="AO67" s="1373">
        <f t="shared" si="154"/>
        <v>129098.0559345212</v>
      </c>
      <c r="AQ67" s="1373">
        <f t="shared" ref="AQ67:BH67" si="162">U67*265</f>
        <v>28787735.515373368</v>
      </c>
      <c r="AR67" s="1373">
        <f t="shared" si="162"/>
        <v>29037244.911846101</v>
      </c>
      <c r="AS67" s="1373">
        <f t="shared" si="162"/>
        <v>29288916.859065309</v>
      </c>
      <c r="AT67" s="1373">
        <f t="shared" si="162"/>
        <v>29542770.100316007</v>
      </c>
      <c r="AU67" s="1373">
        <f t="shared" si="162"/>
        <v>29798823.541335229</v>
      </c>
      <c r="AV67" s="1373">
        <f t="shared" si="162"/>
        <v>30057096.251720019</v>
      </c>
      <c r="AW67" s="1373">
        <f t="shared" si="162"/>
        <v>30317607.466347668</v>
      </c>
      <c r="AX67" s="1373">
        <f t="shared" si="162"/>
        <v>30580376.586808216</v>
      </c>
      <c r="AY67" s="1373">
        <f t="shared" si="162"/>
        <v>30845423.182849392</v>
      </c>
      <c r="AZ67" s="1373">
        <f t="shared" si="162"/>
        <v>31112766.993834067</v>
      </c>
      <c r="BA67" s="1373">
        <f t="shared" si="162"/>
        <v>31382427.930210348</v>
      </c>
      <c r="BB67" s="1373">
        <f t="shared" si="162"/>
        <v>31654426.074994408</v>
      </c>
      <c r="BC67" s="1373">
        <f t="shared" si="162"/>
        <v>31928781.685266178</v>
      </c>
      <c r="BD67" s="1373">
        <f t="shared" si="162"/>
        <v>32205515.19367798</v>
      </c>
      <c r="BE67" s="1373">
        <f t="shared" si="162"/>
        <v>32484647.209976271</v>
      </c>
      <c r="BF67" s="1373">
        <f t="shared" si="162"/>
        <v>32766198.52253652</v>
      </c>
      <c r="BG67" s="1373">
        <f t="shared" si="162"/>
        <v>33050190.099911474</v>
      </c>
      <c r="BH67" s="1373">
        <f t="shared" si="162"/>
        <v>33336643.092392743</v>
      </c>
      <c r="BI67" s="1373">
        <f t="shared" ref="BI67:BK67" si="163">AM67*265</f>
        <v>33625578.833586</v>
      </c>
      <c r="BJ67" s="1373">
        <f t="shared" si="163"/>
        <v>33917018.841999784</v>
      </c>
      <c r="BK67" s="1373">
        <f t="shared" si="163"/>
        <v>34210984.822648115</v>
      </c>
    </row>
    <row r="68" spans="2:63" ht="15" x14ac:dyDescent="0.25">
      <c r="C68" s="285"/>
      <c r="D68" s="285"/>
      <c r="E68" s="285"/>
      <c r="F68" s="870">
        <f>D66</f>
        <v>31190.192018829701</v>
      </c>
      <c r="G68" s="870">
        <f>D67</f>
        <v>34647.058823529413</v>
      </c>
      <c r="H68" s="864" t="s">
        <v>140</v>
      </c>
      <c r="I68" s="864">
        <f>F68</f>
        <v>31190.192018829701</v>
      </c>
      <c r="J68" s="864">
        <f>G68</f>
        <v>34647.058823529413</v>
      </c>
      <c r="K68" s="1375"/>
      <c r="L68" s="1376"/>
      <c r="M68" s="1376"/>
      <c r="N68" s="1376"/>
      <c r="P68" s="864" t="s">
        <v>140</v>
      </c>
      <c r="Q68" s="864">
        <f t="shared" si="159"/>
        <v>31190.192018829701</v>
      </c>
      <c r="R68" s="864">
        <f t="shared" si="159"/>
        <v>34647.058823529413</v>
      </c>
      <c r="S68" s="879">
        <f t="shared" si="160"/>
        <v>5.8564798802345219E-3</v>
      </c>
      <c r="T68" s="1378"/>
      <c r="U68" s="1373">
        <f t="shared" si="161"/>
        <v>31190.192018829701</v>
      </c>
      <c r="V68" s="1373">
        <f t="shared" si="153"/>
        <v>31372.856750848627</v>
      </c>
      <c r="W68" s="1373">
        <f t="shared" si="153"/>
        <v>31556.59125519545</v>
      </c>
      <c r="X68" s="1373">
        <f t="shared" si="153"/>
        <v>31741.401796970287</v>
      </c>
      <c r="Y68" s="1373">
        <f t="shared" si="153"/>
        <v>31927.294677964681</v>
      </c>
      <c r="Z68" s="1373">
        <f t="shared" si="153"/>
        <v>32114.276236876503</v>
      </c>
      <c r="AA68" s="1373">
        <f t="shared" si="153"/>
        <v>32302.352849526062</v>
      </c>
      <c r="AB68" s="1373">
        <f t="shared" si="153"/>
        <v>32491.530929073549</v>
      </c>
      <c r="AC68" s="1373">
        <f t="shared" si="153"/>
        <v>32681.816926237683</v>
      </c>
      <c r="AD68" s="1373">
        <f t="shared" si="153"/>
        <v>32873.217329515697</v>
      </c>
      <c r="AE68" s="1373">
        <f t="shared" si="153"/>
        <v>33065.738665404584</v>
      </c>
      <c r="AF68" s="1373">
        <f t="shared" si="153"/>
        <v>33259.387498623619</v>
      </c>
      <c r="AG68" s="1373">
        <f t="shared" si="153"/>
        <v>33454.170432338229</v>
      </c>
      <c r="AH68" s="1373">
        <f t="shared" si="153"/>
        <v>33650.094108385158</v>
      </c>
      <c r="AI68" s="1373">
        <f t="shared" si="153"/>
        <v>33847.165207498911</v>
      </c>
      <c r="AJ68" s="1373">
        <f t="shared" si="153"/>
        <v>34045.390449539598</v>
      </c>
      <c r="AK68" s="1373">
        <f t="shared" si="153"/>
        <v>34244.776593722061</v>
      </c>
      <c r="AL68" s="1373">
        <f t="shared" si="153"/>
        <v>34445.330438846322</v>
      </c>
      <c r="AM68" s="1373">
        <f t="shared" si="154"/>
        <v>34647.058823529449</v>
      </c>
      <c r="AN68" s="1373">
        <f t="shared" si="154"/>
        <v>34849.968626438749</v>
      </c>
      <c r="AO68" s="1373">
        <f t="shared" si="154"/>
        <v>35054.066766526295</v>
      </c>
      <c r="AQ68" s="1373">
        <f t="shared" ref="AQ68:BH68" si="164">U68*365</f>
        <v>11384420.08687284</v>
      </c>
      <c r="AR68" s="1373">
        <f t="shared" si="164"/>
        <v>11451092.71405975</v>
      </c>
      <c r="AS68" s="1373">
        <f t="shared" si="164"/>
        <v>11518155.808146339</v>
      </c>
      <c r="AT68" s="1373">
        <f t="shared" si="164"/>
        <v>11585611.655894155</v>
      </c>
      <c r="AU68" s="1373">
        <f t="shared" si="164"/>
        <v>11653462.557457108</v>
      </c>
      <c r="AV68" s="1373">
        <f t="shared" si="164"/>
        <v>11721710.826459924</v>
      </c>
      <c r="AW68" s="1373">
        <f t="shared" si="164"/>
        <v>11790358.790077012</v>
      </c>
      <c r="AX68" s="1373">
        <f t="shared" si="164"/>
        <v>11859408.789111845</v>
      </c>
      <c r="AY68" s="1373">
        <f t="shared" si="164"/>
        <v>11928863.178076755</v>
      </c>
      <c r="AZ68" s="1373">
        <f t="shared" si="164"/>
        <v>11998724.325273229</v>
      </c>
      <c r="BA68" s="1373">
        <f t="shared" si="164"/>
        <v>12068994.612872673</v>
      </c>
      <c r="BB68" s="1373">
        <f t="shared" si="164"/>
        <v>12139676.43699762</v>
      </c>
      <c r="BC68" s="1373">
        <f t="shared" si="164"/>
        <v>12210772.207803454</v>
      </c>
      <c r="BD68" s="1373">
        <f t="shared" si="164"/>
        <v>12282284.349560583</v>
      </c>
      <c r="BE68" s="1373">
        <f t="shared" si="164"/>
        <v>12354215.300737102</v>
      </c>
      <c r="BF68" s="1373">
        <f t="shared" si="164"/>
        <v>12426567.514081953</v>
      </c>
      <c r="BG68" s="1373">
        <f t="shared" si="164"/>
        <v>12499343.456708552</v>
      </c>
      <c r="BH68" s="1373">
        <f t="shared" si="164"/>
        <v>12572545.610178908</v>
      </c>
      <c r="BI68" s="1373">
        <f t="shared" ref="BI68:BK68" si="165">AM68*365</f>
        <v>12646176.470588248</v>
      </c>
      <c r="BJ68" s="1373">
        <f t="shared" si="165"/>
        <v>12720238.548650144</v>
      </c>
      <c r="BK68" s="1373">
        <f t="shared" si="165"/>
        <v>12794734.369782098</v>
      </c>
    </row>
    <row r="69" spans="2:63" ht="15" x14ac:dyDescent="0.25">
      <c r="C69" s="285"/>
      <c r="D69" s="285"/>
      <c r="E69" s="285"/>
      <c r="H69" s="864"/>
      <c r="I69" s="864"/>
      <c r="J69" s="864"/>
      <c r="K69" s="1375"/>
      <c r="L69" s="1376"/>
      <c r="M69" s="1376"/>
      <c r="N69" s="1376"/>
      <c r="P69" s="864"/>
      <c r="Q69" s="864"/>
      <c r="R69" s="864"/>
      <c r="S69" s="879"/>
      <c r="T69" s="1378"/>
      <c r="U69" s="1373"/>
      <c r="V69" s="1373"/>
      <c r="W69" s="1373"/>
      <c r="X69" s="1373"/>
      <c r="Y69" s="1373"/>
      <c r="Z69" s="1373"/>
      <c r="AA69" s="1373"/>
      <c r="AB69" s="1373"/>
      <c r="AC69" s="1373"/>
      <c r="AD69" s="1373"/>
      <c r="AE69" s="1373"/>
      <c r="AF69" s="1373"/>
      <c r="AG69" s="1373"/>
      <c r="AH69" s="1373"/>
      <c r="AI69" s="1373"/>
      <c r="AJ69" s="1373"/>
      <c r="AK69" s="1373"/>
      <c r="AL69" s="1373"/>
      <c r="AM69" s="1373"/>
      <c r="AN69" s="1373"/>
      <c r="AO69" s="1373"/>
      <c r="AQ69" s="1373"/>
      <c r="AR69" s="1373"/>
      <c r="AS69" s="1373"/>
      <c r="AT69" s="1373"/>
      <c r="AU69" s="1373"/>
      <c r="AV69" s="1373"/>
      <c r="AW69" s="1373"/>
      <c r="AX69" s="1373"/>
      <c r="AY69" s="1373"/>
      <c r="AZ69" s="1373"/>
      <c r="BA69" s="1373"/>
      <c r="BB69" s="1373"/>
      <c r="BC69" s="1373"/>
      <c r="BD69" s="1373"/>
      <c r="BE69" s="1373"/>
      <c r="BF69" s="1373"/>
      <c r="BG69" s="1373"/>
      <c r="BH69" s="1373"/>
      <c r="BI69" s="1373"/>
      <c r="BJ69" s="1373"/>
      <c r="BK69" s="1373"/>
    </row>
    <row r="70" spans="2:63" ht="15" x14ac:dyDescent="0.25">
      <c r="C70" s="285"/>
      <c r="D70" s="285"/>
      <c r="E70" s="285"/>
      <c r="H70" s="864"/>
      <c r="I70" s="864"/>
      <c r="J70" s="864"/>
      <c r="K70" s="1375"/>
      <c r="L70" s="1376"/>
      <c r="M70" s="1376"/>
      <c r="N70" s="1376"/>
      <c r="P70" s="864"/>
      <c r="Q70" s="864"/>
      <c r="R70" s="864"/>
      <c r="S70" s="879"/>
      <c r="T70" s="1378"/>
      <c r="U70" s="1373"/>
      <c r="V70" s="1373"/>
      <c r="W70" s="1373"/>
      <c r="X70" s="1373"/>
      <c r="Y70" s="1373"/>
      <c r="Z70" s="1373"/>
      <c r="AA70" s="1373"/>
      <c r="AB70" s="1373"/>
      <c r="AC70" s="1373"/>
      <c r="AD70" s="1373"/>
      <c r="AE70" s="1373"/>
      <c r="AF70" s="1373"/>
      <c r="AG70" s="1373"/>
      <c r="AH70" s="1373"/>
      <c r="AI70" s="1373"/>
      <c r="AJ70" s="1373"/>
      <c r="AK70" s="1373"/>
      <c r="AL70" s="1373"/>
      <c r="AM70" s="1373"/>
      <c r="AN70" s="1373"/>
      <c r="AO70" s="1373"/>
      <c r="AQ70" s="1373"/>
      <c r="AR70" s="1373"/>
      <c r="AS70" s="1373"/>
      <c r="AT70" s="1373"/>
      <c r="AU70" s="1373"/>
      <c r="AV70" s="1373"/>
      <c r="AW70" s="1373"/>
      <c r="AX70" s="1373"/>
      <c r="AY70" s="1373"/>
      <c r="AZ70" s="1373"/>
      <c r="BA70" s="1373"/>
      <c r="BB70" s="1373"/>
      <c r="BC70" s="1373"/>
      <c r="BD70" s="1373"/>
      <c r="BE70" s="1373"/>
      <c r="BF70" s="1373"/>
      <c r="BG70" s="1373"/>
      <c r="BH70" s="1373"/>
      <c r="BI70" s="1373"/>
      <c r="BJ70" s="1373"/>
      <c r="BK70" s="1373"/>
    </row>
    <row r="71" spans="2:63" ht="21" x14ac:dyDescent="0.35">
      <c r="C71" s="285"/>
      <c r="D71" s="285"/>
      <c r="E71" s="285"/>
      <c r="H71" s="865" t="s">
        <v>844</v>
      </c>
      <c r="I71" s="1368"/>
      <c r="J71" s="1368"/>
      <c r="K71" s="1375"/>
      <c r="L71" s="1375"/>
      <c r="M71" s="1375"/>
      <c r="P71" s="865" t="s">
        <v>844</v>
      </c>
      <c r="Q71" s="1368"/>
      <c r="R71" s="1368"/>
      <c r="T71" s="1383"/>
    </row>
    <row r="72" spans="2:63" ht="15.75" x14ac:dyDescent="0.25">
      <c r="B72" s="574" t="s">
        <v>828</v>
      </c>
      <c r="C72" s="285">
        <f>VMT.VHT.ADT.Change!E14</f>
        <v>592178.43137254904</v>
      </c>
      <c r="D72" s="285">
        <f>VMT.VHT.ADT.Change!H14</f>
        <v>27645.098039215685</v>
      </c>
      <c r="E72" s="285"/>
      <c r="H72" s="862" t="s">
        <v>0</v>
      </c>
      <c r="I72" s="1370">
        <v>2023</v>
      </c>
      <c r="J72" s="1370">
        <v>2041</v>
      </c>
      <c r="K72" s="1375"/>
      <c r="L72" s="1370">
        <v>2023</v>
      </c>
      <c r="M72" s="1370">
        <v>2040</v>
      </c>
      <c r="N72" s="1370" t="s">
        <v>840</v>
      </c>
      <c r="P72" s="862" t="s">
        <v>0</v>
      </c>
      <c r="Q72" s="1370">
        <v>2023</v>
      </c>
      <c r="R72" s="1370">
        <v>2041</v>
      </c>
      <c r="S72" s="1370" t="s">
        <v>211</v>
      </c>
      <c r="T72" s="1372"/>
      <c r="U72" s="1370">
        <f>2023</f>
        <v>2023</v>
      </c>
      <c r="V72" s="1370">
        <f>U72+1</f>
        <v>2024</v>
      </c>
      <c r="W72" s="1370">
        <f t="shared" ref="W72:AL72" si="166">V72+1</f>
        <v>2025</v>
      </c>
      <c r="X72" s="1370">
        <f t="shared" si="166"/>
        <v>2026</v>
      </c>
      <c r="Y72" s="1370">
        <f t="shared" si="166"/>
        <v>2027</v>
      </c>
      <c r="Z72" s="1370">
        <f t="shared" si="166"/>
        <v>2028</v>
      </c>
      <c r="AA72" s="1370">
        <f t="shared" si="166"/>
        <v>2029</v>
      </c>
      <c r="AB72" s="1370">
        <f t="shared" si="166"/>
        <v>2030</v>
      </c>
      <c r="AC72" s="1370">
        <f t="shared" si="166"/>
        <v>2031</v>
      </c>
      <c r="AD72" s="1370">
        <f t="shared" si="166"/>
        <v>2032</v>
      </c>
      <c r="AE72" s="1370">
        <f t="shared" si="166"/>
        <v>2033</v>
      </c>
      <c r="AF72" s="1370">
        <f t="shared" si="166"/>
        <v>2034</v>
      </c>
      <c r="AG72" s="1370">
        <f t="shared" si="166"/>
        <v>2035</v>
      </c>
      <c r="AH72" s="1370">
        <f t="shared" si="166"/>
        <v>2036</v>
      </c>
      <c r="AI72" s="1370">
        <f t="shared" si="166"/>
        <v>2037</v>
      </c>
      <c r="AJ72" s="1370">
        <f t="shared" si="166"/>
        <v>2038</v>
      </c>
      <c r="AK72" s="1370">
        <f t="shared" si="166"/>
        <v>2039</v>
      </c>
      <c r="AL72" s="1370">
        <f t="shared" si="166"/>
        <v>2040</v>
      </c>
      <c r="AM72" s="1370">
        <f t="shared" ref="AM72" si="167">AL72+1</f>
        <v>2041</v>
      </c>
      <c r="AN72" s="1370">
        <f t="shared" ref="AN72" si="168">AM72+1</f>
        <v>2042</v>
      </c>
      <c r="AO72" s="1370">
        <f t="shared" ref="AO72" si="169">AN72+1</f>
        <v>2043</v>
      </c>
      <c r="AP72" s="253"/>
      <c r="AQ72" s="1370">
        <f>2023</f>
        <v>2023</v>
      </c>
      <c r="AR72" s="1370">
        <f>AQ72+1</f>
        <v>2024</v>
      </c>
      <c r="AS72" s="1370">
        <f t="shared" ref="AS72:BH72" si="170">AR72+1</f>
        <v>2025</v>
      </c>
      <c r="AT72" s="1370">
        <f t="shared" si="170"/>
        <v>2026</v>
      </c>
      <c r="AU72" s="1370">
        <f t="shared" si="170"/>
        <v>2027</v>
      </c>
      <c r="AV72" s="1370">
        <f t="shared" si="170"/>
        <v>2028</v>
      </c>
      <c r="AW72" s="1370">
        <f t="shared" si="170"/>
        <v>2029</v>
      </c>
      <c r="AX72" s="1370">
        <f t="shared" si="170"/>
        <v>2030</v>
      </c>
      <c r="AY72" s="1370">
        <f t="shared" si="170"/>
        <v>2031</v>
      </c>
      <c r="AZ72" s="1370">
        <f t="shared" si="170"/>
        <v>2032</v>
      </c>
      <c r="BA72" s="1370">
        <f t="shared" si="170"/>
        <v>2033</v>
      </c>
      <c r="BB72" s="1370">
        <f t="shared" si="170"/>
        <v>2034</v>
      </c>
      <c r="BC72" s="1370">
        <f t="shared" si="170"/>
        <v>2035</v>
      </c>
      <c r="BD72" s="1370">
        <f t="shared" si="170"/>
        <v>2036</v>
      </c>
      <c r="BE72" s="1370">
        <f t="shared" si="170"/>
        <v>2037</v>
      </c>
      <c r="BF72" s="1370">
        <f t="shared" si="170"/>
        <v>2038</v>
      </c>
      <c r="BG72" s="1370">
        <f t="shared" si="170"/>
        <v>2039</v>
      </c>
      <c r="BH72" s="1370">
        <f t="shared" si="170"/>
        <v>2040</v>
      </c>
      <c r="BI72" s="1370">
        <f t="shared" ref="BI72" si="171">BH72+1</f>
        <v>2041</v>
      </c>
      <c r="BJ72" s="1370">
        <f t="shared" ref="BJ72" si="172">BI72+1</f>
        <v>2042</v>
      </c>
      <c r="BK72" s="1370">
        <f t="shared" ref="BK72" si="173">BJ72+1</f>
        <v>2043</v>
      </c>
    </row>
    <row r="73" spans="2:63" ht="15" x14ac:dyDescent="0.25">
      <c r="B73" s="574" t="s">
        <v>829</v>
      </c>
      <c r="C73" s="285">
        <f>VMT.VHT.ADT.Change!E15</f>
        <v>682709.80392156867</v>
      </c>
      <c r="D73" s="285">
        <f>VMT.VHT.ADT.Change!H15</f>
        <v>39688.235294117643</v>
      </c>
      <c r="E73" s="285"/>
      <c r="F73" s="870">
        <f>$C$78</f>
        <v>574956.86274509807</v>
      </c>
      <c r="G73" s="870">
        <f>$C$79</f>
        <v>657490.19607843133</v>
      </c>
      <c r="H73" s="863" t="s">
        <v>573</v>
      </c>
      <c r="I73" s="864">
        <f>F73*L73</f>
        <v>297243.83584398311</v>
      </c>
      <c r="J73" s="864">
        <f>G73*M73</f>
        <v>352846.4712494816</v>
      </c>
      <c r="K73" s="1385"/>
      <c r="L73" s="1376">
        <f>L16</f>
        <v>0.51698458633019828</v>
      </c>
      <c r="M73" s="1376">
        <f>M16</f>
        <v>0.53665662751173693</v>
      </c>
      <c r="N73" s="1376">
        <f>N16</f>
        <v>0.52682060692096755</v>
      </c>
      <c r="P73" s="863" t="s">
        <v>573</v>
      </c>
      <c r="Q73" s="864">
        <f>I73</f>
        <v>297243.83584398311</v>
      </c>
      <c r="R73" s="864">
        <f>J73</f>
        <v>352846.4712494816</v>
      </c>
      <c r="S73" s="879">
        <f>(R73/Q73)^(1/($R$64-$Q$64))-1</f>
        <v>9.5722031849307943E-3</v>
      </c>
      <c r="T73" s="1378"/>
      <c r="U73" s="1373">
        <f>$Q73*(1+$S73)^(U$64-$Q$64)</f>
        <v>297243.83584398311</v>
      </c>
      <c r="V73" s="1373">
        <f t="shared" ref="V73:AM76" si="174">$Q73*(1+$S73)^(V$64-$Q$64)</f>
        <v>300089.11423614994</v>
      </c>
      <c r="W73" s="1373">
        <f t="shared" si="174"/>
        <v>302961.62821120425</v>
      </c>
      <c r="X73" s="1373">
        <f t="shared" si="174"/>
        <v>305861.63847367937</v>
      </c>
      <c r="Y73" s="1373">
        <f t="shared" si="174"/>
        <v>308789.40822362527</v>
      </c>
      <c r="Z73" s="1373">
        <f t="shared" si="174"/>
        <v>311745.20318049635</v>
      </c>
      <c r="AA73" s="1373">
        <f t="shared" si="174"/>
        <v>314729.29160726763</v>
      </c>
      <c r="AB73" s="1373">
        <f t="shared" si="174"/>
        <v>317741.94433478173</v>
      </c>
      <c r="AC73" s="1373">
        <f t="shared" si="174"/>
        <v>320783.43478632916</v>
      </c>
      <c r="AD73" s="1373">
        <f t="shared" si="174"/>
        <v>323854.03900246386</v>
      </c>
      <c r="AE73" s="1373">
        <f t="shared" si="174"/>
        <v>326954.03566605598</v>
      </c>
      <c r="AF73" s="1373">
        <f t="shared" si="174"/>
        <v>330083.70612758456</v>
      </c>
      <c r="AG73" s="1373">
        <f t="shared" si="174"/>
        <v>333243.33443067275</v>
      </c>
      <c r="AH73" s="1373">
        <f t="shared" si="174"/>
        <v>336433.20733786706</v>
      </c>
      <c r="AI73" s="1373">
        <f t="shared" si="174"/>
        <v>339653.61435666302</v>
      </c>
      <c r="AJ73" s="1373">
        <f t="shared" si="174"/>
        <v>342904.84776578116</v>
      </c>
      <c r="AK73" s="1373">
        <f t="shared" si="174"/>
        <v>346187.20264169289</v>
      </c>
      <c r="AL73" s="1373">
        <f t="shared" si="174"/>
        <v>349500.97688540199</v>
      </c>
      <c r="AM73" s="1373">
        <f t="shared" si="174"/>
        <v>352846.47124948085</v>
      </c>
      <c r="AN73" s="1373">
        <f t="shared" ref="AM73:AO76" si="175">$Q73*(1+$S73)^(AN$64-$Q$64)</f>
        <v>356223.98936536675</v>
      </c>
      <c r="AO73" s="1373">
        <f t="shared" si="175"/>
        <v>359633.83777091868</v>
      </c>
      <c r="AQ73" s="1373">
        <f t="shared" ref="AQ73:AZ74" si="176">U73*315</f>
        <v>93631808.290854678</v>
      </c>
      <c r="AR73" s="1373">
        <f t="shared" si="176"/>
        <v>94528070.984387234</v>
      </c>
      <c r="AS73" s="1373">
        <f t="shared" si="176"/>
        <v>95432912.886529341</v>
      </c>
      <c r="AT73" s="1373">
        <f t="shared" si="176"/>
        <v>96346416.119209006</v>
      </c>
      <c r="AU73" s="1373">
        <f t="shared" si="176"/>
        <v>97268663.590441957</v>
      </c>
      <c r="AV73" s="1373">
        <f t="shared" si="176"/>
        <v>98199739.001856357</v>
      </c>
      <c r="AW73" s="1373">
        <f t="shared" si="176"/>
        <v>99139726.856289297</v>
      </c>
      <c r="AX73" s="1373">
        <f t="shared" si="176"/>
        <v>100088712.46545625</v>
      </c>
      <c r="AY73" s="1373">
        <f t="shared" si="176"/>
        <v>101046781.95769368</v>
      </c>
      <c r="AZ73" s="1373">
        <f t="shared" si="176"/>
        <v>102014022.28577612</v>
      </c>
      <c r="BA73" s="1373">
        <f t="shared" ref="BA73:BG74" si="177">AE73*315</f>
        <v>102990521.23480764</v>
      </c>
      <c r="BB73" s="1373">
        <f t="shared" si="177"/>
        <v>103976367.43018913</v>
      </c>
      <c r="BC73" s="1373">
        <f t="shared" si="177"/>
        <v>104971650.34566192</v>
      </c>
      <c r="BD73" s="1373">
        <f t="shared" si="177"/>
        <v>105976460.31142813</v>
      </c>
      <c r="BE73" s="1373">
        <f t="shared" si="177"/>
        <v>106990888.52234885</v>
      </c>
      <c r="BF73" s="1373">
        <f t="shared" si="177"/>
        <v>108015027.04622106</v>
      </c>
      <c r="BG73" s="1373">
        <f t="shared" si="177"/>
        <v>109048968.83213326</v>
      </c>
      <c r="BH73" s="1373">
        <f t="shared" ref="BH73:BH74" si="178">AL73*315</f>
        <v>110092807.71890163</v>
      </c>
      <c r="BI73" s="1373">
        <f t="shared" ref="BI73:BI74" si="179">AM73*315</f>
        <v>111146638.44358647</v>
      </c>
      <c r="BJ73" s="1373">
        <f t="shared" ref="BJ73:BJ74" si="180">AN73*315</f>
        <v>112210556.65009053</v>
      </c>
      <c r="BK73" s="1373">
        <f t="shared" ref="BK73:BK74" si="181">AO73*315</f>
        <v>113284658.89783938</v>
      </c>
    </row>
    <row r="74" spans="2:63" ht="15" x14ac:dyDescent="0.25">
      <c r="C74" s="285"/>
      <c r="D74" s="285"/>
      <c r="E74" s="285"/>
      <c r="F74" s="870">
        <f t="shared" ref="F74:F75" si="182">$C$78</f>
        <v>574956.86274509807</v>
      </c>
      <c r="G74" s="870">
        <f t="shared" ref="G74:G75" si="183">$C$79</f>
        <v>657490.19607843133</v>
      </c>
      <c r="H74" s="864" t="s">
        <v>574</v>
      </c>
      <c r="I74" s="864">
        <f t="shared" ref="I74:J75" si="184">F74*L74</f>
        <v>161415.16576314298</v>
      </c>
      <c r="J74" s="864">
        <f t="shared" si="184"/>
        <v>166832.14027266487</v>
      </c>
      <c r="K74" s="1367"/>
      <c r="L74" s="1376">
        <f>L18</f>
        <v>0.28074308912928819</v>
      </c>
      <c r="M74" s="1376">
        <f>M18</f>
        <v>0.25374087897846559</v>
      </c>
      <c r="N74" s="1376">
        <f>N18</f>
        <v>0.26724198405387689</v>
      </c>
      <c r="P74" s="864" t="s">
        <v>574</v>
      </c>
      <c r="Q74" s="864">
        <f t="shared" ref="Q74:R76" si="185">I74</f>
        <v>161415.16576314298</v>
      </c>
      <c r="R74" s="864">
        <f t="shared" si="185"/>
        <v>166832.14027266487</v>
      </c>
      <c r="S74" s="879">
        <f t="shared" ref="S74:S76" si="186">(R74/Q74)^(1/($R$64-$Q$64))-1</f>
        <v>1.8354848656600975E-3</v>
      </c>
      <c r="T74" s="1378"/>
      <c r="U74" s="1373">
        <f t="shared" ref="U74:U76" si="187">$Q74*(1+$S74)^(U$64-$Q$64)</f>
        <v>161415.16576314298</v>
      </c>
      <c r="V74" s="1373">
        <f t="shared" si="174"/>
        <v>161711.44085698924</v>
      </c>
      <c r="W74" s="1373">
        <f t="shared" si="174"/>
        <v>162008.25975928636</v>
      </c>
      <c r="X74" s="1373">
        <f t="shared" si="174"/>
        <v>162305.62346818644</v>
      </c>
      <c r="Y74" s="1373">
        <f t="shared" si="174"/>
        <v>162603.53298367382</v>
      </c>
      <c r="Z74" s="1373">
        <f t="shared" si="174"/>
        <v>162901.98930756823</v>
      </c>
      <c r="AA74" s="1373">
        <f t="shared" si="174"/>
        <v>163200.99344352819</v>
      </c>
      <c r="AB74" s="1373">
        <f t="shared" si="174"/>
        <v>163500.54639705448</v>
      </c>
      <c r="AC74" s="1373">
        <f t="shared" si="174"/>
        <v>163800.64917549345</v>
      </c>
      <c r="AD74" s="1373">
        <f t="shared" si="174"/>
        <v>164101.30278804037</v>
      </c>
      <c r="AE74" s="1373">
        <f t="shared" si="174"/>
        <v>164402.50824574294</v>
      </c>
      <c r="AF74" s="1373">
        <f t="shared" si="174"/>
        <v>164704.26656150457</v>
      </c>
      <c r="AG74" s="1373">
        <f t="shared" si="174"/>
        <v>165006.57875008788</v>
      </c>
      <c r="AH74" s="1373">
        <f t="shared" si="174"/>
        <v>165309.44582811801</v>
      </c>
      <c r="AI74" s="1373">
        <f t="shared" si="174"/>
        <v>165612.86881408616</v>
      </c>
      <c r="AJ74" s="1373">
        <f t="shared" si="174"/>
        <v>165916.84872835298</v>
      </c>
      <c r="AK74" s="1373">
        <f t="shared" si="174"/>
        <v>166221.3865931519</v>
      </c>
      <c r="AL74" s="1373">
        <f t="shared" si="174"/>
        <v>166526.48343259268</v>
      </c>
      <c r="AM74" s="1373">
        <f t="shared" si="175"/>
        <v>166832.14027266481</v>
      </c>
      <c r="AN74" s="1373">
        <f t="shared" si="175"/>
        <v>167138.35814124095</v>
      </c>
      <c r="AO74" s="1373">
        <f t="shared" si="175"/>
        <v>167445.1380680805</v>
      </c>
      <c r="AQ74" s="1373">
        <f t="shared" si="176"/>
        <v>50845777.215390041</v>
      </c>
      <c r="AR74" s="1373">
        <f t="shared" si="176"/>
        <v>50939103.869951613</v>
      </c>
      <c r="AS74" s="1373">
        <f t="shared" si="176"/>
        <v>51032601.824175201</v>
      </c>
      <c r="AT74" s="1373">
        <f t="shared" si="176"/>
        <v>51126271.392478727</v>
      </c>
      <c r="AU74" s="1373">
        <f t="shared" si="176"/>
        <v>51220112.889857255</v>
      </c>
      <c r="AV74" s="1373">
        <f t="shared" si="176"/>
        <v>51314126.631883994</v>
      </c>
      <c r="AW74" s="1373">
        <f t="shared" si="176"/>
        <v>51408312.934711382</v>
      </c>
      <c r="AX74" s="1373">
        <f t="shared" si="176"/>
        <v>51502672.115072161</v>
      </c>
      <c r="AY74" s="1373">
        <f t="shared" si="176"/>
        <v>51597204.490280434</v>
      </c>
      <c r="AZ74" s="1373">
        <f t="shared" si="176"/>
        <v>51691910.378232718</v>
      </c>
      <c r="BA74" s="1373">
        <f t="shared" si="177"/>
        <v>51786790.097409025</v>
      </c>
      <c r="BB74" s="1373">
        <f t="shared" si="177"/>
        <v>51881843.966873936</v>
      </c>
      <c r="BC74" s="1373">
        <f t="shared" si="177"/>
        <v>51977072.306277685</v>
      </c>
      <c r="BD74" s="1373">
        <f t="shared" si="177"/>
        <v>52072475.435857177</v>
      </c>
      <c r="BE74" s="1373">
        <f t="shared" si="177"/>
        <v>52168053.67643714</v>
      </c>
      <c r="BF74" s="1373">
        <f t="shared" si="177"/>
        <v>52263807.349431187</v>
      </c>
      <c r="BG74" s="1373">
        <f t="shared" si="177"/>
        <v>52359736.776842847</v>
      </c>
      <c r="BH74" s="1373">
        <f t="shared" si="178"/>
        <v>52455842.281266697</v>
      </c>
      <c r="BI74" s="1373">
        <f t="shared" si="179"/>
        <v>52552124.185889415</v>
      </c>
      <c r="BJ74" s="1373">
        <f t="shared" si="180"/>
        <v>52648582.814490899</v>
      </c>
      <c r="BK74" s="1373">
        <f t="shared" si="181"/>
        <v>52745218.491445355</v>
      </c>
    </row>
    <row r="75" spans="2:63" ht="15" x14ac:dyDescent="0.25">
      <c r="C75" s="285"/>
      <c r="D75" s="285"/>
      <c r="E75" s="285"/>
      <c r="F75" s="870">
        <f t="shared" si="182"/>
        <v>574956.86274509807</v>
      </c>
      <c r="G75" s="870">
        <f t="shared" si="183"/>
        <v>657490.19607843133</v>
      </c>
      <c r="H75" s="864" t="s">
        <v>575</v>
      </c>
      <c r="I75" s="864">
        <f t="shared" si="184"/>
        <v>116308.63427623104</v>
      </c>
      <c r="J75" s="864">
        <f t="shared" si="184"/>
        <v>137811.51323974718</v>
      </c>
      <c r="K75" s="1385"/>
      <c r="L75" s="1376">
        <f>L30</f>
        <v>0.20229106183883472</v>
      </c>
      <c r="M75" s="1376">
        <f>M30</f>
        <v>0.2096023850419631</v>
      </c>
      <c r="N75" s="1376">
        <f>N30</f>
        <v>0.20594672344039891</v>
      </c>
      <c r="P75" s="864" t="s">
        <v>575</v>
      </c>
      <c r="Q75" s="864">
        <f t="shared" si="185"/>
        <v>116308.63427623104</v>
      </c>
      <c r="R75" s="864">
        <f t="shared" si="185"/>
        <v>137811.51323974718</v>
      </c>
      <c r="S75" s="879">
        <f t="shared" si="186"/>
        <v>9.4689723387879621E-3</v>
      </c>
      <c r="T75" s="1378"/>
      <c r="U75" s="1373">
        <f t="shared" si="187"/>
        <v>116308.63427623104</v>
      </c>
      <c r="V75" s="1373">
        <f t="shared" si="174"/>
        <v>117409.95751695488</v>
      </c>
      <c r="W75" s="1373">
        <f t="shared" si="174"/>
        <v>118521.7091569812</v>
      </c>
      <c r="X75" s="1373">
        <f t="shared" si="174"/>
        <v>119643.98794253453</v>
      </c>
      <c r="Y75" s="1373">
        <f t="shared" si="174"/>
        <v>120776.89355486467</v>
      </c>
      <c r="Z75" s="1373">
        <f t="shared" si="174"/>
        <v>121920.52661910043</v>
      </c>
      <c r="AA75" s="1373">
        <f t="shared" si="174"/>
        <v>123074.98871318717</v>
      </c>
      <c r="AB75" s="1373">
        <f t="shared" si="174"/>
        <v>124240.38237690898</v>
      </c>
      <c r="AC75" s="1373">
        <f t="shared" si="174"/>
        <v>125416.81112099637</v>
      </c>
      <c r="AD75" s="1373">
        <f t="shared" si="174"/>
        <v>126604.37943632007</v>
      </c>
      <c r="AE75" s="1373">
        <f t="shared" si="174"/>
        <v>127803.19280317203</v>
      </c>
      <c r="AF75" s="1373">
        <f t="shared" si="174"/>
        <v>129013.35770063405</v>
      </c>
      <c r="AG75" s="1373">
        <f t="shared" si="174"/>
        <v>130234.9816160355</v>
      </c>
      <c r="AH75" s="1373">
        <f t="shared" si="174"/>
        <v>131468.17305450031</v>
      </c>
      <c r="AI75" s="1373">
        <f t="shared" si="174"/>
        <v>132713.04154858438</v>
      </c>
      <c r="AJ75" s="1373">
        <f t="shared" si="174"/>
        <v>133969.69766800434</v>
      </c>
      <c r="AK75" s="1373">
        <f t="shared" si="174"/>
        <v>135238.25302945846</v>
      </c>
      <c r="AL75" s="1373">
        <f t="shared" si="174"/>
        <v>136518.82030654044</v>
      </c>
      <c r="AM75" s="1373">
        <f t="shared" si="175"/>
        <v>137811.51323974703</v>
      </c>
      <c r="AN75" s="1373">
        <f t="shared" si="175"/>
        <v>139116.44664658071</v>
      </c>
      <c r="AO75" s="1373">
        <f t="shared" si="175"/>
        <v>140433.73643174765</v>
      </c>
      <c r="AQ75" s="1373">
        <f t="shared" ref="AQ75:BH75" si="188">U75*265</f>
        <v>30821788.083201226</v>
      </c>
      <c r="AR75" s="1373">
        <f t="shared" si="188"/>
        <v>31113638.741993044</v>
      </c>
      <c r="AS75" s="1373">
        <f t="shared" si="188"/>
        <v>31408252.92660002</v>
      </c>
      <c r="AT75" s="1373">
        <f t="shared" si="188"/>
        <v>31705656.804771651</v>
      </c>
      <c r="AU75" s="1373">
        <f t="shared" si="188"/>
        <v>32005876.792039137</v>
      </c>
      <c r="AV75" s="1373">
        <f t="shared" si="188"/>
        <v>32308939.554061614</v>
      </c>
      <c r="AW75" s="1373">
        <f t="shared" si="188"/>
        <v>32614872.008994598</v>
      </c>
      <c r="AX75" s="1373">
        <f t="shared" si="188"/>
        <v>32923701.329880878</v>
      </c>
      <c r="AY75" s="1373">
        <f t="shared" si="188"/>
        <v>33235454.947064038</v>
      </c>
      <c r="AZ75" s="1373">
        <f t="shared" si="188"/>
        <v>33550160.550624818</v>
      </c>
      <c r="BA75" s="1373">
        <f t="shared" si="188"/>
        <v>33867846.09284059</v>
      </c>
      <c r="BB75" s="1373">
        <f t="shared" si="188"/>
        <v>34188539.790668026</v>
      </c>
      <c r="BC75" s="1373">
        <f t="shared" si="188"/>
        <v>34512270.128249407</v>
      </c>
      <c r="BD75" s="1373">
        <f t="shared" si="188"/>
        <v>34839065.859442584</v>
      </c>
      <c r="BE75" s="1373">
        <f t="shared" si="188"/>
        <v>35168956.010374859</v>
      </c>
      <c r="BF75" s="1373">
        <f t="shared" si="188"/>
        <v>35501969.882021151</v>
      </c>
      <c r="BG75" s="1373">
        <f t="shared" si="188"/>
        <v>35838137.052806489</v>
      </c>
      <c r="BH75" s="1373">
        <f t="shared" si="188"/>
        <v>36177487.381233215</v>
      </c>
      <c r="BI75" s="1373">
        <f t="shared" ref="BI75:BK75" si="189">AM75*265</f>
        <v>36520051.008532964</v>
      </c>
      <c r="BJ75" s="1373">
        <f t="shared" si="189"/>
        <v>36865858.36134389</v>
      </c>
      <c r="BK75" s="1373">
        <f t="shared" si="189"/>
        <v>37214940.154413126</v>
      </c>
    </row>
    <row r="76" spans="2:63" ht="15" x14ac:dyDescent="0.25">
      <c r="C76" s="285"/>
      <c r="D76" s="285"/>
      <c r="E76" s="285"/>
      <c r="F76" s="870">
        <f>D78</f>
        <v>26925.49019607843</v>
      </c>
      <c r="G76" s="870">
        <f>D79</f>
        <v>38229.411764705881</v>
      </c>
      <c r="H76" s="864" t="s">
        <v>140</v>
      </c>
      <c r="I76" s="864">
        <f>F76</f>
        <v>26925.49019607843</v>
      </c>
      <c r="J76" s="864">
        <f>G76</f>
        <v>38229.411764705881</v>
      </c>
      <c r="K76" s="1375"/>
      <c r="L76" s="1376"/>
      <c r="M76" s="1376"/>
      <c r="N76" s="997"/>
      <c r="P76" s="864" t="s">
        <v>140</v>
      </c>
      <c r="Q76" s="864">
        <f t="shared" si="185"/>
        <v>26925.49019607843</v>
      </c>
      <c r="R76" s="864">
        <f t="shared" si="185"/>
        <v>38229.411764705881</v>
      </c>
      <c r="S76" s="879">
        <f t="shared" si="186"/>
        <v>1.9664840047239229E-2</v>
      </c>
      <c r="T76" s="1378"/>
      <c r="U76" s="1373">
        <f t="shared" si="187"/>
        <v>26925.49019607843</v>
      </c>
      <c r="V76" s="1373">
        <f t="shared" si="174"/>
        <v>27454.975653977821</v>
      </c>
      <c r="W76" s="1373">
        <f t="shared" si="174"/>
        <v>27994.87335871414</v>
      </c>
      <c r="X76" s="1373">
        <f t="shared" si="174"/>
        <v>28545.388065455969</v>
      </c>
      <c r="Y76" s="1373">
        <f t="shared" si="174"/>
        <v>29106.728555849531</v>
      </c>
      <c r="Z76" s="1373">
        <f t="shared" si="174"/>
        <v>29679.107717198724</v>
      </c>
      <c r="AA76" s="1373">
        <f t="shared" si="174"/>
        <v>30262.742623202212</v>
      </c>
      <c r="AB76" s="1373">
        <f t="shared" si="174"/>
        <v>30857.854616278255</v>
      </c>
      <c r="AC76" s="1373">
        <f t="shared" si="174"/>
        <v>31464.669391508323</v>
      </c>
      <c r="AD76" s="1373">
        <f t="shared" si="174"/>
        <v>32083.417082231597</v>
      </c>
      <c r="AE76" s="1373">
        <f t="shared" si="174"/>
        <v>32714.332347322546</v>
      </c>
      <c r="AF76" s="1373">
        <f t="shared" si="174"/>
        <v>33357.654460184865</v>
      </c>
      <c r="AG76" s="1373">
        <f t="shared" si="174"/>
        <v>34013.627399495475</v>
      </c>
      <c r="AH76" s="1373">
        <f t="shared" si="174"/>
        <v>34682.499941732945</v>
      </c>
      <c r="AI76" s="1373">
        <f t="shared" si="174"/>
        <v>35364.525755525501</v>
      </c>
      <c r="AJ76" s="1373">
        <f t="shared" si="174"/>
        <v>36059.963497854384</v>
      </c>
      <c r="AK76" s="1373">
        <f t="shared" si="174"/>
        <v>36769.076912148972</v>
      </c>
      <c r="AL76" s="1373">
        <f t="shared" si="174"/>
        <v>37492.134928311018</v>
      </c>
      <c r="AM76" s="1373">
        <f t="shared" si="175"/>
        <v>38229.411764705765</v>
      </c>
      <c r="AN76" s="1373">
        <f t="shared" si="175"/>
        <v>38981.187032158748</v>
      </c>
      <c r="AO76" s="1373">
        <f t="shared" si="175"/>
        <v>39747.74583999766</v>
      </c>
      <c r="AQ76" s="1373">
        <f t="shared" ref="AQ76:BH76" si="190">U76*365</f>
        <v>9827803.9215686265</v>
      </c>
      <c r="AR76" s="1373">
        <f t="shared" si="190"/>
        <v>10021066.113701904</v>
      </c>
      <c r="AS76" s="1373">
        <f t="shared" si="190"/>
        <v>10218128.775930662</v>
      </c>
      <c r="AT76" s="1373">
        <f t="shared" si="190"/>
        <v>10419066.64389143</v>
      </c>
      <c r="AU76" s="1373">
        <f t="shared" si="190"/>
        <v>10623955.922885079</v>
      </c>
      <c r="AV76" s="1373">
        <f t="shared" si="190"/>
        <v>10832874.316777535</v>
      </c>
      <c r="AW76" s="1373">
        <f t="shared" si="190"/>
        <v>11045901.057468807</v>
      </c>
      <c r="AX76" s="1373">
        <f t="shared" si="190"/>
        <v>11263116.934941564</v>
      </c>
      <c r="AY76" s="1373">
        <f t="shared" si="190"/>
        <v>11484604.327900538</v>
      </c>
      <c r="AZ76" s="1373">
        <f t="shared" si="190"/>
        <v>11710447.235014534</v>
      </c>
      <c r="BA76" s="1373">
        <f t="shared" si="190"/>
        <v>11940731.306772729</v>
      </c>
      <c r="BB76" s="1373">
        <f t="shared" si="190"/>
        <v>12175543.877967475</v>
      </c>
      <c r="BC76" s="1373">
        <f t="shared" si="190"/>
        <v>12414974.000815848</v>
      </c>
      <c r="BD76" s="1373">
        <f t="shared" si="190"/>
        <v>12659112.478732524</v>
      </c>
      <c r="BE76" s="1373">
        <f t="shared" si="190"/>
        <v>12908051.900766809</v>
      </c>
      <c r="BF76" s="1373">
        <f t="shared" si="190"/>
        <v>13161886.676716849</v>
      </c>
      <c r="BG76" s="1373">
        <f t="shared" si="190"/>
        <v>13420713.072934374</v>
      </c>
      <c r="BH76" s="1373">
        <f t="shared" si="190"/>
        <v>13684629.248833522</v>
      </c>
      <c r="BI76" s="1373">
        <f t="shared" ref="BI76:BK76" si="191">AM76*365</f>
        <v>13953735.294117603</v>
      </c>
      <c r="BJ76" s="1373">
        <f t="shared" si="191"/>
        <v>14228133.266737944</v>
      </c>
      <c r="BK76" s="1373">
        <f t="shared" si="191"/>
        <v>14507927.231599147</v>
      </c>
    </row>
    <row r="77" spans="2:63" ht="15" x14ac:dyDescent="0.25">
      <c r="C77" s="285"/>
      <c r="D77" s="285"/>
      <c r="E77" s="285"/>
      <c r="H77" s="864"/>
      <c r="I77" s="864"/>
      <c r="J77" s="864"/>
      <c r="K77" s="1389"/>
      <c r="L77" s="1376"/>
      <c r="M77" s="1376"/>
      <c r="N77" s="1376"/>
      <c r="P77" s="864"/>
      <c r="Q77" s="864"/>
      <c r="R77" s="864"/>
      <c r="S77" s="879"/>
      <c r="T77" s="1378"/>
      <c r="U77" s="1373"/>
      <c r="V77" s="1373"/>
      <c r="W77" s="1373"/>
      <c r="X77" s="1373"/>
      <c r="Y77" s="1373"/>
      <c r="Z77" s="1373"/>
      <c r="AA77" s="1373"/>
      <c r="AB77" s="1373"/>
      <c r="AC77" s="1373"/>
      <c r="AD77" s="1373"/>
      <c r="AE77" s="1373"/>
      <c r="AF77" s="1373"/>
      <c r="AG77" s="1373"/>
      <c r="AH77" s="1373"/>
      <c r="AI77" s="1373"/>
      <c r="AJ77" s="1373"/>
      <c r="AK77" s="1373"/>
      <c r="AL77" s="1373"/>
      <c r="AM77" s="1373"/>
      <c r="AN77" s="1373"/>
      <c r="AO77" s="1373"/>
      <c r="AQ77" s="1373"/>
      <c r="AR77" s="1373"/>
      <c r="AS77" s="1373"/>
      <c r="AT77" s="1373"/>
      <c r="AU77" s="1373"/>
      <c r="AV77" s="1373"/>
      <c r="AW77" s="1373"/>
      <c r="AX77" s="1373"/>
      <c r="AY77" s="1373"/>
      <c r="AZ77" s="1373"/>
      <c r="BA77" s="1373"/>
      <c r="BB77" s="1373"/>
      <c r="BC77" s="1373"/>
      <c r="BD77" s="1373"/>
      <c r="BE77" s="1373"/>
      <c r="BF77" s="1373"/>
      <c r="BG77" s="1373"/>
      <c r="BH77" s="1373"/>
      <c r="BI77" s="1373"/>
      <c r="BJ77" s="1373"/>
      <c r="BK77" s="1373"/>
    </row>
    <row r="78" spans="2:63" ht="15" x14ac:dyDescent="0.25">
      <c r="B78" s="574" t="s">
        <v>830</v>
      </c>
      <c r="C78" s="285">
        <v>574956.86274509807</v>
      </c>
      <c r="D78" s="285">
        <v>26925.49019607843</v>
      </c>
      <c r="E78" s="285"/>
      <c r="H78" s="864"/>
      <c r="I78" s="864"/>
      <c r="J78" s="864"/>
      <c r="K78" s="1389"/>
      <c r="L78" s="1376"/>
      <c r="M78" s="1376"/>
      <c r="N78" s="997"/>
      <c r="P78" s="864"/>
      <c r="Q78" s="864"/>
      <c r="R78" s="864"/>
      <c r="S78" s="879"/>
      <c r="T78" s="1378"/>
      <c r="U78" s="1373"/>
      <c r="V78" s="1373"/>
      <c r="W78" s="1373"/>
      <c r="X78" s="1373"/>
      <c r="Y78" s="1373"/>
      <c r="Z78" s="1373"/>
      <c r="AA78" s="1373"/>
      <c r="AB78" s="1373"/>
      <c r="AC78" s="1373"/>
      <c r="AD78" s="1373"/>
      <c r="AE78" s="1373"/>
      <c r="AF78" s="1373"/>
      <c r="AG78" s="1373"/>
      <c r="AH78" s="1373"/>
      <c r="AI78" s="1373"/>
      <c r="AJ78" s="1373"/>
      <c r="AK78" s="1373"/>
      <c r="AL78" s="1373"/>
      <c r="AM78" s="1373"/>
      <c r="AN78" s="1373"/>
      <c r="AO78" s="1373"/>
      <c r="AQ78" s="1373"/>
      <c r="AR78" s="1373"/>
      <c r="AS78" s="1373"/>
      <c r="AT78" s="1373"/>
      <c r="AU78" s="1373"/>
      <c r="AV78" s="1373"/>
      <c r="AW78" s="1373"/>
      <c r="AX78" s="1373"/>
      <c r="AY78" s="1373"/>
      <c r="AZ78" s="1373"/>
      <c r="BA78" s="1373"/>
      <c r="BB78" s="1373"/>
      <c r="BC78" s="1373"/>
      <c r="BD78" s="1373"/>
      <c r="BE78" s="1373"/>
      <c r="BF78" s="1373"/>
      <c r="BG78" s="1373"/>
      <c r="BH78" s="1373"/>
      <c r="BI78" s="1373"/>
      <c r="BJ78" s="1373"/>
      <c r="BK78" s="1373"/>
    </row>
    <row r="79" spans="2:63" ht="21" x14ac:dyDescent="0.35">
      <c r="B79" s="574" t="s">
        <v>831</v>
      </c>
      <c r="C79" s="285">
        <v>657490.19607843133</v>
      </c>
      <c r="D79" s="285">
        <v>38229.411764705881</v>
      </c>
      <c r="E79" s="285"/>
      <c r="H79" s="865" t="s">
        <v>845</v>
      </c>
      <c r="I79" s="1368"/>
      <c r="J79" s="1368"/>
      <c r="K79" s="1375"/>
      <c r="L79" s="1376"/>
      <c r="M79" s="1376"/>
      <c r="N79" s="1376"/>
      <c r="P79" s="865" t="s">
        <v>845</v>
      </c>
      <c r="Q79" s="1368"/>
      <c r="R79" s="1368"/>
      <c r="T79" s="1383"/>
    </row>
    <row r="80" spans="2:63" ht="15.75" x14ac:dyDescent="0.25">
      <c r="H80" s="862" t="s">
        <v>0</v>
      </c>
      <c r="I80" s="1370">
        <v>2023</v>
      </c>
      <c r="J80" s="1370">
        <v>2041</v>
      </c>
      <c r="K80" s="1390"/>
      <c r="L80" s="1370">
        <v>2023</v>
      </c>
      <c r="M80" s="1370">
        <v>2040</v>
      </c>
      <c r="N80" s="1370" t="s">
        <v>840</v>
      </c>
      <c r="P80" s="862" t="s">
        <v>0</v>
      </c>
      <c r="Q80" s="1370">
        <v>2023</v>
      </c>
      <c r="R80" s="1370">
        <v>2041</v>
      </c>
      <c r="S80" s="1370" t="s">
        <v>211</v>
      </c>
      <c r="T80" s="1372"/>
      <c r="U80" s="1370">
        <f>2023</f>
        <v>2023</v>
      </c>
      <c r="V80" s="1370">
        <f>U80+1</f>
        <v>2024</v>
      </c>
      <c r="W80" s="1370">
        <f t="shared" ref="W80:AL80" si="192">V80+1</f>
        <v>2025</v>
      </c>
      <c r="X80" s="1370">
        <f t="shared" si="192"/>
        <v>2026</v>
      </c>
      <c r="Y80" s="1370">
        <f t="shared" si="192"/>
        <v>2027</v>
      </c>
      <c r="Z80" s="1370">
        <f t="shared" si="192"/>
        <v>2028</v>
      </c>
      <c r="AA80" s="1370">
        <f t="shared" si="192"/>
        <v>2029</v>
      </c>
      <c r="AB80" s="1370">
        <f t="shared" si="192"/>
        <v>2030</v>
      </c>
      <c r="AC80" s="1370">
        <f t="shared" si="192"/>
        <v>2031</v>
      </c>
      <c r="AD80" s="1370">
        <f t="shared" si="192"/>
        <v>2032</v>
      </c>
      <c r="AE80" s="1370">
        <f t="shared" si="192"/>
        <v>2033</v>
      </c>
      <c r="AF80" s="1370">
        <f t="shared" si="192"/>
        <v>2034</v>
      </c>
      <c r="AG80" s="1370">
        <f t="shared" si="192"/>
        <v>2035</v>
      </c>
      <c r="AH80" s="1370">
        <f t="shared" si="192"/>
        <v>2036</v>
      </c>
      <c r="AI80" s="1370">
        <f t="shared" si="192"/>
        <v>2037</v>
      </c>
      <c r="AJ80" s="1370">
        <f t="shared" si="192"/>
        <v>2038</v>
      </c>
      <c r="AK80" s="1370">
        <f t="shared" si="192"/>
        <v>2039</v>
      </c>
      <c r="AL80" s="1370">
        <f t="shared" si="192"/>
        <v>2040</v>
      </c>
      <c r="AM80" s="1370">
        <f t="shared" ref="AM80" si="193">AL80+1</f>
        <v>2041</v>
      </c>
      <c r="AN80" s="1370">
        <f t="shared" ref="AN80" si="194">AM80+1</f>
        <v>2042</v>
      </c>
      <c r="AO80" s="1370">
        <f t="shared" ref="AO80" si="195">AN80+1</f>
        <v>2043</v>
      </c>
      <c r="AP80" s="253"/>
      <c r="AQ80" s="1370">
        <f>2023</f>
        <v>2023</v>
      </c>
      <c r="AR80" s="1370">
        <f>AQ80+1</f>
        <v>2024</v>
      </c>
      <c r="AS80" s="1370">
        <f t="shared" ref="AS80:BH80" si="196">AR80+1</f>
        <v>2025</v>
      </c>
      <c r="AT80" s="1370">
        <f t="shared" si="196"/>
        <v>2026</v>
      </c>
      <c r="AU80" s="1370">
        <f t="shared" si="196"/>
        <v>2027</v>
      </c>
      <c r="AV80" s="1370">
        <f t="shared" si="196"/>
        <v>2028</v>
      </c>
      <c r="AW80" s="1370">
        <f t="shared" si="196"/>
        <v>2029</v>
      </c>
      <c r="AX80" s="1370">
        <f t="shared" si="196"/>
        <v>2030</v>
      </c>
      <c r="AY80" s="1370">
        <f t="shared" si="196"/>
        <v>2031</v>
      </c>
      <c r="AZ80" s="1370">
        <f t="shared" si="196"/>
        <v>2032</v>
      </c>
      <c r="BA80" s="1370">
        <f t="shared" si="196"/>
        <v>2033</v>
      </c>
      <c r="BB80" s="1370">
        <f t="shared" si="196"/>
        <v>2034</v>
      </c>
      <c r="BC80" s="1370">
        <f t="shared" si="196"/>
        <v>2035</v>
      </c>
      <c r="BD80" s="1370">
        <f t="shared" si="196"/>
        <v>2036</v>
      </c>
      <c r="BE80" s="1370">
        <f t="shared" si="196"/>
        <v>2037</v>
      </c>
      <c r="BF80" s="1370">
        <f t="shared" si="196"/>
        <v>2038</v>
      </c>
      <c r="BG80" s="1370">
        <f t="shared" si="196"/>
        <v>2039</v>
      </c>
      <c r="BH80" s="1370">
        <f t="shared" si="196"/>
        <v>2040</v>
      </c>
      <c r="BI80" s="1370">
        <f t="shared" ref="BI80" si="197">BH80+1</f>
        <v>2041</v>
      </c>
      <c r="BJ80" s="1370">
        <f t="shared" ref="BJ80" si="198">BI80+1</f>
        <v>2042</v>
      </c>
      <c r="BK80" s="1370">
        <f t="shared" ref="BK80" si="199">BJ80+1</f>
        <v>2043</v>
      </c>
    </row>
    <row r="81" spans="6:63" ht="15" x14ac:dyDescent="0.25">
      <c r="F81" s="870">
        <f>C72</f>
        <v>592178.43137254904</v>
      </c>
      <c r="G81" s="870">
        <f>C73</f>
        <v>682709.80392156867</v>
      </c>
      <c r="H81" s="863" t="s">
        <v>573</v>
      </c>
      <c r="I81" s="864">
        <f>F81*L81</f>
        <v>306178.80819306802</v>
      </c>
      <c r="J81" s="864">
        <f>G81*M81</f>
        <v>366385.30519692518</v>
      </c>
      <c r="L81" s="1376">
        <f>L26</f>
        <v>0.51703809522985811</v>
      </c>
      <c r="M81" s="1376">
        <f>M26</f>
        <v>0.53666331300995407</v>
      </c>
      <c r="N81" s="1376">
        <f>N26</f>
        <v>0.52685070411990609</v>
      </c>
      <c r="P81" s="863" t="s">
        <v>573</v>
      </c>
      <c r="Q81" s="864">
        <f>I81</f>
        <v>306178.80819306802</v>
      </c>
      <c r="R81" s="864">
        <f>J81</f>
        <v>366385.30519692518</v>
      </c>
      <c r="S81" s="879">
        <f>(R81/Q81)^(1/($R$64-$Q$64))-1</f>
        <v>1.0023022591967301E-2</v>
      </c>
      <c r="T81" s="1378"/>
      <c r="U81" s="1373">
        <f>$Q81*(1+$S81)^(U$64-$Q$64)</f>
        <v>306178.80819306802</v>
      </c>
      <c r="V81" s="1373">
        <f t="shared" ref="V81:AM84" si="200">$Q81*(1+$S81)^(V$64-$Q$64)</f>
        <v>309247.64530476875</v>
      </c>
      <c r="W81" s="1373">
        <f t="shared" si="200"/>
        <v>312347.24144017114</v>
      </c>
      <c r="X81" s="1373">
        <f t="shared" si="200"/>
        <v>315477.90489766467</v>
      </c>
      <c r="Y81" s="1373">
        <f t="shared" si="200"/>
        <v>318639.94706572045</v>
      </c>
      <c r="Z81" s="1373">
        <f t="shared" si="200"/>
        <v>321833.68245386344</v>
      </c>
      <c r="AA81" s="1373">
        <f t="shared" si="200"/>
        <v>325059.42872395454</v>
      </c>
      <c r="AB81" s="1373">
        <f t="shared" si="200"/>
        <v>328317.50672178675</v>
      </c>
      <c r="AC81" s="1373">
        <f t="shared" si="200"/>
        <v>331608.24050899758</v>
      </c>
      <c r="AD81" s="1373">
        <f t="shared" si="200"/>
        <v>334931.95739530178</v>
      </c>
      <c r="AE81" s="1373">
        <f t="shared" si="200"/>
        <v>338288.98797104671</v>
      </c>
      <c r="AF81" s="1373">
        <f t="shared" si="200"/>
        <v>341679.66614009428</v>
      </c>
      <c r="AG81" s="1373">
        <f t="shared" si="200"/>
        <v>345104.32915303227</v>
      </c>
      <c r="AH81" s="1373">
        <f t="shared" si="200"/>
        <v>348563.31764071889</v>
      </c>
      <c r="AI81" s="1373">
        <f t="shared" si="200"/>
        <v>352056.97564816283</v>
      </c>
      <c r="AJ81" s="1373">
        <f t="shared" si="200"/>
        <v>355585.65066874411</v>
      </c>
      <c r="AK81" s="1373">
        <f t="shared" si="200"/>
        <v>359149.69367877627</v>
      </c>
      <c r="AL81" s="1373">
        <f t="shared" si="200"/>
        <v>362749.45917241677</v>
      </c>
      <c r="AM81" s="1373">
        <f t="shared" si="200"/>
        <v>366385.30519692582</v>
      </c>
      <c r="AN81" s="1373">
        <f t="shared" ref="AM81:AO84" si="201">$Q81*(1+$S81)^(AN$64-$Q$64)</f>
        <v>370057.59338827949</v>
      </c>
      <c r="AO81" s="1373">
        <f t="shared" si="201"/>
        <v>373766.68900713918</v>
      </c>
      <c r="AQ81" s="1373">
        <f t="shared" ref="AQ81:AZ82" si="202">U81*315</f>
        <v>96446324.580816433</v>
      </c>
      <c r="AR81" s="1373">
        <f t="shared" si="202"/>
        <v>97413008.271002159</v>
      </c>
      <c r="AS81" s="1373">
        <f t="shared" si="202"/>
        <v>98389381.053653911</v>
      </c>
      <c r="AT81" s="1373">
        <f t="shared" si="202"/>
        <v>99375540.042764366</v>
      </c>
      <c r="AU81" s="1373">
        <f t="shared" si="202"/>
        <v>100371583.32570194</v>
      </c>
      <c r="AV81" s="1373">
        <f t="shared" si="202"/>
        <v>101377609.97296698</v>
      </c>
      <c r="AW81" s="1373">
        <f t="shared" si="202"/>
        <v>102393720.04804568</v>
      </c>
      <c r="AX81" s="1373">
        <f t="shared" si="202"/>
        <v>103420014.61736283</v>
      </c>
      <c r="AY81" s="1373">
        <f t="shared" si="202"/>
        <v>104456595.76033424</v>
      </c>
      <c r="AZ81" s="1373">
        <f t="shared" si="202"/>
        <v>105503566.57952006</v>
      </c>
      <c r="BA81" s="1373">
        <f t="shared" ref="BA81:BG82" si="203">AE81*315</f>
        <v>106561031.21087971</v>
      </c>
      <c r="BB81" s="1373">
        <f t="shared" si="203"/>
        <v>107629094.83412971</v>
      </c>
      <c r="BC81" s="1373">
        <f t="shared" si="203"/>
        <v>108707863.68320517</v>
      </c>
      <c r="BD81" s="1373">
        <f t="shared" si="203"/>
        <v>109797445.05682644</v>
      </c>
      <c r="BE81" s="1373">
        <f t="shared" si="203"/>
        <v>110897947.32917129</v>
      </c>
      <c r="BF81" s="1373">
        <f t="shared" si="203"/>
        <v>112009479.96065439</v>
      </c>
      <c r="BG81" s="1373">
        <f t="shared" si="203"/>
        <v>113132153.50881453</v>
      </c>
      <c r="BH81" s="1373">
        <f t="shared" ref="BH81:BH82" si="204">AL81*315</f>
        <v>114266079.63931128</v>
      </c>
      <c r="BI81" s="1373">
        <f t="shared" ref="BI81:BI82" si="205">AM81*315</f>
        <v>115411371.13703163</v>
      </c>
      <c r="BJ81" s="1373">
        <f t="shared" ref="BJ81:BJ82" si="206">AN81*315</f>
        <v>116568141.91730805</v>
      </c>
      <c r="BK81" s="1373">
        <f t="shared" ref="BK81:BK82" si="207">AO81*315</f>
        <v>117736507.03724885</v>
      </c>
    </row>
    <row r="82" spans="6:63" ht="15" x14ac:dyDescent="0.25">
      <c r="F82" s="870">
        <f>C72</f>
        <v>592178.43137254904</v>
      </c>
      <c r="G82" s="870">
        <f>C73</f>
        <v>682709.80392156867</v>
      </c>
      <c r="H82" s="864" t="s">
        <v>574</v>
      </c>
      <c r="I82" s="864">
        <f t="shared" ref="I82:J83" si="208">F82*L82</f>
        <v>166207.21949907261</v>
      </c>
      <c r="J82" s="864">
        <f t="shared" si="208"/>
        <v>173226.89553115168</v>
      </c>
      <c r="K82" s="1389"/>
      <c r="L82" s="1376">
        <f>L28</f>
        <v>0.28067084293130723</v>
      </c>
      <c r="M82" s="1376">
        <f>M28</f>
        <v>0.25373430194808277</v>
      </c>
      <c r="N82" s="1376">
        <f>N28</f>
        <v>0.26720257243969503</v>
      </c>
      <c r="P82" s="864" t="s">
        <v>574</v>
      </c>
      <c r="Q82" s="864">
        <f t="shared" ref="Q82:R84" si="209">I82</f>
        <v>166207.21949907261</v>
      </c>
      <c r="R82" s="864">
        <f t="shared" si="209"/>
        <v>173226.89553115168</v>
      </c>
      <c r="S82" s="879">
        <f t="shared" ref="S82:S84" si="210">(R82/Q82)^(1/($R$64-$Q$64))-1</f>
        <v>2.3008066888139389E-3</v>
      </c>
      <c r="T82" s="1378"/>
      <c r="U82" s="1373">
        <f t="shared" ref="U82:U84" si="211">$Q82*(1+$S82)^(U$64-$Q$64)</f>
        <v>166207.21949907261</v>
      </c>
      <c r="V82" s="1373">
        <f t="shared" si="200"/>
        <v>166589.63018142525</v>
      </c>
      <c r="W82" s="1373">
        <f t="shared" si="200"/>
        <v>166972.9207168337</v>
      </c>
      <c r="X82" s="1373">
        <f t="shared" si="200"/>
        <v>167357.09312966978</v>
      </c>
      <c r="Y82" s="1373">
        <f t="shared" si="200"/>
        <v>167742.14944896297</v>
      </c>
      <c r="Z82" s="1373">
        <f t="shared" si="200"/>
        <v>168128.09170841117</v>
      </c>
      <c r="AA82" s="1373">
        <f t="shared" si="200"/>
        <v>168514.92194639141</v>
      </c>
      <c r="AB82" s="1373">
        <f t="shared" si="200"/>
        <v>168902.64220597059</v>
      </c>
      <c r="AC82" s="1373">
        <f t="shared" si="200"/>
        <v>169291.25453491643</v>
      </c>
      <c r="AD82" s="1373">
        <f t="shared" si="200"/>
        <v>169680.7609857081</v>
      </c>
      <c r="AE82" s="1373">
        <f t="shared" si="200"/>
        <v>170071.16361554703</v>
      </c>
      <c r="AF82" s="1373">
        <f t="shared" si="200"/>
        <v>170462.46448636803</v>
      </c>
      <c r="AG82" s="1373">
        <f t="shared" si="200"/>
        <v>170854.66566484998</v>
      </c>
      <c r="AH82" s="1373">
        <f t="shared" si="200"/>
        <v>171247.76922242672</v>
      </c>
      <c r="AI82" s="1373">
        <f t="shared" si="200"/>
        <v>171641.77723529816</v>
      </c>
      <c r="AJ82" s="1373">
        <f t="shared" si="200"/>
        <v>172036.69178444101</v>
      </c>
      <c r="AK82" s="1373">
        <f t="shared" si="200"/>
        <v>172432.51495562008</v>
      </c>
      <c r="AL82" s="1373">
        <f t="shared" si="200"/>
        <v>172829.24883939896</v>
      </c>
      <c r="AM82" s="1373">
        <f t="shared" si="201"/>
        <v>173226.89553115133</v>
      </c>
      <c r="AN82" s="1373">
        <f t="shared" si="201"/>
        <v>173625.45713107189</v>
      </c>
      <c r="AO82" s="1373">
        <f t="shared" si="201"/>
        <v>174024.93574418742</v>
      </c>
      <c r="AQ82" s="1373">
        <f t="shared" si="202"/>
        <v>52355274.142207876</v>
      </c>
      <c r="AR82" s="1373">
        <f t="shared" si="202"/>
        <v>52475733.507148951</v>
      </c>
      <c r="AS82" s="1373">
        <f t="shared" si="202"/>
        <v>52596470.025802612</v>
      </c>
      <c r="AT82" s="1373">
        <f t="shared" si="202"/>
        <v>52717484.335845985</v>
      </c>
      <c r="AU82" s="1373">
        <f t="shared" si="202"/>
        <v>52838777.076423332</v>
      </c>
      <c r="AV82" s="1373">
        <f t="shared" si="202"/>
        <v>52960348.888149522</v>
      </c>
      <c r="AW82" s="1373">
        <f t="shared" si="202"/>
        <v>53082200.413113296</v>
      </c>
      <c r="AX82" s="1373">
        <f t="shared" si="202"/>
        <v>53204332.29488074</v>
      </c>
      <c r="AY82" s="1373">
        <f t="shared" si="202"/>
        <v>53326745.178498678</v>
      </c>
      <c r="AZ82" s="1373">
        <f t="shared" si="202"/>
        <v>53449439.71049805</v>
      </c>
      <c r="BA82" s="1373">
        <f t="shared" si="203"/>
        <v>53572416.538897313</v>
      </c>
      <c r="BB82" s="1373">
        <f t="shared" si="203"/>
        <v>53695676.313205928</v>
      </c>
      <c r="BC82" s="1373">
        <f t="shared" si="203"/>
        <v>53819219.684427746</v>
      </c>
      <c r="BD82" s="1373">
        <f t="shared" si="203"/>
        <v>53943047.305064417</v>
      </c>
      <c r="BE82" s="1373">
        <f t="shared" si="203"/>
        <v>54067159.829118922</v>
      </c>
      <c r="BF82" s="1373">
        <f t="shared" si="203"/>
        <v>54191557.912098914</v>
      </c>
      <c r="BG82" s="1373">
        <f t="shared" si="203"/>
        <v>54316242.211020328</v>
      </c>
      <c r="BH82" s="1373">
        <f t="shared" si="204"/>
        <v>54441213.384410672</v>
      </c>
      <c r="BI82" s="1373">
        <f t="shared" si="205"/>
        <v>54566472.092312671</v>
      </c>
      <c r="BJ82" s="1373">
        <f t="shared" si="206"/>
        <v>54692018.996287644</v>
      </c>
      <c r="BK82" s="1373">
        <f t="shared" si="207"/>
        <v>54817854.759419039</v>
      </c>
    </row>
    <row r="83" spans="6:63" ht="15" x14ac:dyDescent="0.25">
      <c r="F83" s="870">
        <f>C72</f>
        <v>592178.43137254904</v>
      </c>
      <c r="G83" s="870">
        <f>C73</f>
        <v>682709.80392156867</v>
      </c>
      <c r="H83" s="864" t="s">
        <v>575</v>
      </c>
      <c r="I83" s="864">
        <f t="shared" si="208"/>
        <v>119792.40368040846</v>
      </c>
      <c r="J83" s="864">
        <f t="shared" si="208"/>
        <v>143097.60319349176</v>
      </c>
      <c r="K83" s="1390"/>
      <c r="L83" s="1376">
        <f>L30</f>
        <v>0.20229106183883472</v>
      </c>
      <c r="M83" s="1376">
        <f>M30</f>
        <v>0.2096023850419631</v>
      </c>
      <c r="N83" s="1376">
        <f>N30</f>
        <v>0.20594672344039891</v>
      </c>
      <c r="P83" s="864" t="s">
        <v>575</v>
      </c>
      <c r="Q83" s="864">
        <f t="shared" si="209"/>
        <v>119792.40368040846</v>
      </c>
      <c r="R83" s="864">
        <f t="shared" si="209"/>
        <v>143097.60319349176</v>
      </c>
      <c r="S83" s="879">
        <f t="shared" si="210"/>
        <v>9.9248535529934401E-3</v>
      </c>
      <c r="T83" s="1378"/>
      <c r="U83" s="1373">
        <f t="shared" si="211"/>
        <v>119792.40368040846</v>
      </c>
      <c r="V83" s="1373">
        <f t="shared" si="200"/>
        <v>120981.32574369758</v>
      </c>
      <c r="W83" s="1373">
        <f t="shared" si="200"/>
        <v>122182.04768435079</v>
      </c>
      <c r="X83" s="1373">
        <f t="shared" si="200"/>
        <v>123394.68661442284</v>
      </c>
      <c r="Y83" s="1373">
        <f t="shared" si="200"/>
        <v>124619.36080828852</v>
      </c>
      <c r="Z83" s="1373">
        <f t="shared" si="200"/>
        <v>125856.18971417843</v>
      </c>
      <c r="AA83" s="1373">
        <f t="shared" si="200"/>
        <v>127105.29396582942</v>
      </c>
      <c r="AB83" s="1373">
        <f t="shared" si="200"/>
        <v>128366.79539425048</v>
      </c>
      <c r="AC83" s="1373">
        <f t="shared" si="200"/>
        <v>129640.81703960548</v>
      </c>
      <c r="AD83" s="1373">
        <f t="shared" si="200"/>
        <v>130927.48316321397</v>
      </c>
      <c r="AE83" s="1373">
        <f t="shared" si="200"/>
        <v>132226.91925967089</v>
      </c>
      <c r="AF83" s="1373">
        <f t="shared" si="200"/>
        <v>133539.25206908665</v>
      </c>
      <c r="AG83" s="1373">
        <f t="shared" si="200"/>
        <v>134864.60958944861</v>
      </c>
      <c r="AH83" s="1373">
        <f t="shared" si="200"/>
        <v>136203.12108910552</v>
      </c>
      <c r="AI83" s="1373">
        <f t="shared" si="200"/>
        <v>137554.91711937555</v>
      </c>
      <c r="AJ83" s="1373">
        <f t="shared" si="200"/>
        <v>138920.1295272795</v>
      </c>
      <c r="AK83" s="1373">
        <f t="shared" si="200"/>
        <v>140298.89146840063</v>
      </c>
      <c r="AL83" s="1373">
        <f t="shared" si="200"/>
        <v>141691.33741987182</v>
      </c>
      <c r="AM83" s="1373">
        <f t="shared" si="201"/>
        <v>143097.60319349184</v>
      </c>
      <c r="AN83" s="1373">
        <f t="shared" si="201"/>
        <v>144517.82594897161</v>
      </c>
      <c r="AO83" s="1373">
        <f t="shared" si="201"/>
        <v>145952.1442073122</v>
      </c>
      <c r="AQ83" s="1373">
        <f t="shared" ref="AQ83:BH83" si="212">U83*265</f>
        <v>31744986.975308243</v>
      </c>
      <c r="AR83" s="1373">
        <f t="shared" si="212"/>
        <v>32060051.32207986</v>
      </c>
      <c r="AS83" s="1373">
        <f t="shared" si="212"/>
        <v>32378242.63635296</v>
      </c>
      <c r="AT83" s="1373">
        <f t="shared" si="212"/>
        <v>32699591.952822052</v>
      </c>
      <c r="AU83" s="1373">
        <f t="shared" si="212"/>
        <v>33024130.614196457</v>
      </c>
      <c r="AV83" s="1373">
        <f t="shared" si="212"/>
        <v>33351890.274257284</v>
      </c>
      <c r="AW83" s="1373">
        <f t="shared" si="212"/>
        <v>33682902.900944799</v>
      </c>
      <c r="AX83" s="1373">
        <f t="shared" si="212"/>
        <v>34017200.779476374</v>
      </c>
      <c r="AY83" s="1373">
        <f t="shared" si="212"/>
        <v>34354816.515495449</v>
      </c>
      <c r="AZ83" s="1373">
        <f t="shared" si="212"/>
        <v>34695783.038251698</v>
      </c>
      <c r="BA83" s="1373">
        <f t="shared" si="212"/>
        <v>35040133.603812784</v>
      </c>
      <c r="BB83" s="1373">
        <f t="shared" si="212"/>
        <v>35387901.798307963</v>
      </c>
      <c r="BC83" s="1373">
        <f t="shared" si="212"/>
        <v>35739121.541203879</v>
      </c>
      <c r="BD83" s="1373">
        <f t="shared" si="212"/>
        <v>36093827.088612966</v>
      </c>
      <c r="BE83" s="1373">
        <f t="shared" si="212"/>
        <v>36452053.03663452</v>
      </c>
      <c r="BF83" s="1373">
        <f t="shared" si="212"/>
        <v>36813834.32472907</v>
      </c>
      <c r="BG83" s="1373">
        <f t="shared" si="212"/>
        <v>37179206.239126168</v>
      </c>
      <c r="BH83" s="1373">
        <f t="shared" si="212"/>
        <v>37548204.416266032</v>
      </c>
      <c r="BI83" s="1373">
        <f t="shared" ref="BI83:BK83" si="213">AM83*265</f>
        <v>37920864.846275337</v>
      </c>
      <c r="BJ83" s="1373">
        <f t="shared" si="213"/>
        <v>38297223.87647748</v>
      </c>
      <c r="BK83" s="1373">
        <f t="shared" si="213"/>
        <v>38677318.214937732</v>
      </c>
    </row>
    <row r="84" spans="6:63" ht="15" x14ac:dyDescent="0.25">
      <c r="F84" s="870">
        <f>D72</f>
        <v>27645.098039215685</v>
      </c>
      <c r="G84" s="870">
        <f>D73</f>
        <v>39688.235294117643</v>
      </c>
      <c r="H84" s="864" t="s">
        <v>140</v>
      </c>
      <c r="I84" s="864">
        <f>F84</f>
        <v>27645.098039215685</v>
      </c>
      <c r="J84" s="864">
        <f>G84</f>
        <v>39688.235294117643</v>
      </c>
      <c r="K84" s="1348"/>
      <c r="L84" s="1376"/>
      <c r="M84" s="1376"/>
      <c r="N84" s="1376"/>
      <c r="P84" s="864" t="s">
        <v>140</v>
      </c>
      <c r="Q84" s="864">
        <f t="shared" si="209"/>
        <v>27645.098039215685</v>
      </c>
      <c r="R84" s="864">
        <f t="shared" si="209"/>
        <v>39688.235294117643</v>
      </c>
      <c r="S84" s="879">
        <f t="shared" si="210"/>
        <v>2.029239011209838E-2</v>
      </c>
      <c r="T84" s="1378"/>
      <c r="U84" s="1373">
        <f t="shared" si="211"/>
        <v>27645.098039215685</v>
      </c>
      <c r="V84" s="1373">
        <f t="shared" si="200"/>
        <v>28206.083153314656</v>
      </c>
      <c r="W84" s="1373">
        <f t="shared" si="200"/>
        <v>28778.451996196007</v>
      </c>
      <c r="X84" s="1373">
        <f t="shared" si="200"/>
        <v>29362.43557092511</v>
      </c>
      <c r="Y84" s="1373">
        <f t="shared" si="200"/>
        <v>29958.269568171683</v>
      </c>
      <c r="Z84" s="1373">
        <f t="shared" si="200"/>
        <v>30566.19446133243</v>
      </c>
      <c r="AA84" s="1373">
        <f t="shared" si="200"/>
        <v>31186.455603584047</v>
      </c>
      <c r="AB84" s="1373">
        <f t="shared" si="200"/>
        <v>31819.303326905614</v>
      </c>
      <c r="AC84" s="1373">
        <f t="shared" si="200"/>
        <v>32464.993043110378</v>
      </c>
      <c r="AD84" s="1373">
        <f t="shared" si="200"/>
        <v>33123.785346927732</v>
      </c>
      <c r="AE84" s="1373">
        <f t="shared" si="200"/>
        <v>33795.946121177003</v>
      </c>
      <c r="AF84" s="1373">
        <f t="shared" si="200"/>
        <v>34481.746644075385</v>
      </c>
      <c r="AG84" s="1373">
        <f t="shared" si="200"/>
        <v>35181.463698723506</v>
      </c>
      <c r="AH84" s="1373">
        <f t="shared" si="200"/>
        <v>35895.379684812637</v>
      </c>
      <c r="AI84" s="1373">
        <f t="shared" si="200"/>
        <v>36623.782732598738</v>
      </c>
      <c r="AJ84" s="1373">
        <f t="shared" si="200"/>
        <v>37366.966819189372</v>
      </c>
      <c r="AK84" s="1373">
        <f t="shared" si="200"/>
        <v>38125.231887190203</v>
      </c>
      <c r="AL84" s="1373">
        <f t="shared" si="200"/>
        <v>38898.883965759283</v>
      </c>
      <c r="AM84" s="1373">
        <f t="shared" si="201"/>
        <v>39688.235294117716</v>
      </c>
      <c r="AN84" s="1373">
        <f t="shared" si="201"/>
        <v>40493.604447566708</v>
      </c>
      <c r="AO84" s="1373">
        <f t="shared" si="201"/>
        <v>41315.31646606174</v>
      </c>
      <c r="AQ84" s="1373">
        <f t="shared" ref="AQ84:BH84" si="214">U84*365</f>
        <v>10090460.784313725</v>
      </c>
      <c r="AR84" s="1373">
        <f t="shared" si="214"/>
        <v>10295220.350959849</v>
      </c>
      <c r="AS84" s="1373">
        <f t="shared" si="214"/>
        <v>10504134.978611542</v>
      </c>
      <c r="AT84" s="1373">
        <f t="shared" si="214"/>
        <v>10717288.983387666</v>
      </c>
      <c r="AU84" s="1373">
        <f t="shared" si="214"/>
        <v>10934768.392382665</v>
      </c>
      <c r="AV84" s="1373">
        <f t="shared" si="214"/>
        <v>11156660.978386337</v>
      </c>
      <c r="AW84" s="1373">
        <f t="shared" si="214"/>
        <v>11383056.295308176</v>
      </c>
      <c r="AX84" s="1373">
        <f t="shared" si="214"/>
        <v>11614045.71432055</v>
      </c>
      <c r="AY84" s="1373">
        <f t="shared" si="214"/>
        <v>11849722.460735288</v>
      </c>
      <c r="AZ84" s="1373">
        <f t="shared" si="214"/>
        <v>12090181.651628623</v>
      </c>
      <c r="BA84" s="1373">
        <f t="shared" si="214"/>
        <v>12335520.334229605</v>
      </c>
      <c r="BB84" s="1373">
        <f t="shared" si="214"/>
        <v>12585837.525087515</v>
      </c>
      <c r="BC84" s="1373">
        <f t="shared" si="214"/>
        <v>12841234.250034079</v>
      </c>
      <c r="BD84" s="1373">
        <f t="shared" si="214"/>
        <v>13101813.584956612</v>
      </c>
      <c r="BE84" s="1373">
        <f t="shared" si="214"/>
        <v>13367680.69739854</v>
      </c>
      <c r="BF84" s="1373">
        <f t="shared" si="214"/>
        <v>13638942.889004121</v>
      </c>
      <c r="BG84" s="1373">
        <f t="shared" si="214"/>
        <v>13915709.638824424</v>
      </c>
      <c r="BH84" s="1373">
        <f t="shared" si="214"/>
        <v>14198092.647502139</v>
      </c>
      <c r="BI84" s="1373">
        <f t="shared" ref="BI84:BK84" si="215">AM84*365</f>
        <v>14486205.882352967</v>
      </c>
      <c r="BJ84" s="1373">
        <f t="shared" si="215"/>
        <v>14780165.623361848</v>
      </c>
      <c r="BK84" s="1373">
        <f t="shared" si="215"/>
        <v>15080090.510112535</v>
      </c>
    </row>
    <row r="85" spans="6:63" ht="15" x14ac:dyDescent="0.25">
      <c r="H85" s="864"/>
      <c r="I85" s="864"/>
      <c r="J85" s="864"/>
      <c r="K85" s="575"/>
      <c r="L85" s="1376"/>
      <c r="M85" s="1376"/>
      <c r="N85" s="1376"/>
      <c r="P85" s="864"/>
      <c r="Q85" s="864"/>
      <c r="R85" s="864"/>
      <c r="S85" s="879"/>
      <c r="T85" s="1378"/>
      <c r="U85" s="1373"/>
      <c r="V85" s="1373"/>
      <c r="W85" s="1373"/>
      <c r="X85" s="1373"/>
      <c r="Y85" s="1373"/>
      <c r="Z85" s="1373"/>
      <c r="AA85" s="1373"/>
      <c r="AB85" s="1373"/>
      <c r="AC85" s="1373"/>
      <c r="AD85" s="1373"/>
      <c r="AE85" s="1373"/>
      <c r="AF85" s="1373"/>
      <c r="AG85" s="1373"/>
      <c r="AH85" s="1373"/>
      <c r="AI85" s="1373"/>
      <c r="AJ85" s="1373"/>
      <c r="AK85" s="1373"/>
      <c r="AL85" s="1373"/>
      <c r="AM85" s="1373"/>
      <c r="AN85" s="1373"/>
      <c r="AO85" s="1373"/>
      <c r="AQ85" s="1373"/>
      <c r="AR85" s="1373"/>
      <c r="AS85" s="1373"/>
      <c r="AT85" s="1373"/>
      <c r="AU85" s="1373"/>
      <c r="AV85" s="1373"/>
      <c r="AW85" s="1373"/>
      <c r="AX85" s="1373"/>
      <c r="AY85" s="1373"/>
      <c r="AZ85" s="1373"/>
      <c r="BA85" s="1373"/>
      <c r="BB85" s="1373"/>
      <c r="BC85" s="1373"/>
      <c r="BD85" s="1373"/>
      <c r="BE85" s="1373"/>
      <c r="BF85" s="1373"/>
      <c r="BG85" s="1373"/>
      <c r="BH85" s="1373"/>
      <c r="BI85" s="1373"/>
      <c r="BJ85" s="1373"/>
      <c r="BK85" s="1373"/>
    </row>
    <row r="86" spans="6:63" ht="15" x14ac:dyDescent="0.25">
      <c r="H86" s="864"/>
      <c r="I86" s="864"/>
      <c r="J86" s="864"/>
      <c r="K86" s="575"/>
      <c r="L86" s="1376"/>
      <c r="M86" s="1376"/>
      <c r="N86" s="1376"/>
      <c r="P86" s="864"/>
      <c r="Q86" s="864"/>
      <c r="R86" s="864"/>
      <c r="S86" s="879"/>
      <c r="T86" s="1378"/>
      <c r="U86" s="1373"/>
      <c r="V86" s="1373"/>
      <c r="W86" s="1373"/>
      <c r="X86" s="1373"/>
      <c r="Y86" s="1373"/>
      <c r="Z86" s="1373"/>
      <c r="AA86" s="1373"/>
      <c r="AB86" s="1373"/>
      <c r="AC86" s="1373"/>
      <c r="AD86" s="1373"/>
      <c r="AE86" s="1373"/>
      <c r="AF86" s="1373"/>
      <c r="AG86" s="1373"/>
      <c r="AH86" s="1373"/>
      <c r="AI86" s="1373"/>
      <c r="AJ86" s="1373"/>
      <c r="AK86" s="1373"/>
      <c r="AL86" s="1373"/>
      <c r="AM86" s="1373"/>
      <c r="AN86" s="1373"/>
      <c r="AO86" s="1373"/>
      <c r="AQ86" s="1373"/>
      <c r="AR86" s="1373"/>
      <c r="AS86" s="1373"/>
      <c r="AT86" s="1373"/>
      <c r="AU86" s="1373"/>
      <c r="AV86" s="1373"/>
      <c r="AW86" s="1373"/>
      <c r="AX86" s="1373"/>
      <c r="AY86" s="1373"/>
      <c r="AZ86" s="1373"/>
      <c r="BA86" s="1373"/>
      <c r="BB86" s="1373"/>
      <c r="BC86" s="1373"/>
      <c r="BD86" s="1373"/>
      <c r="BE86" s="1373"/>
      <c r="BF86" s="1373"/>
      <c r="BG86" s="1373"/>
      <c r="BH86" s="1373"/>
      <c r="BI86" s="1373"/>
      <c r="BJ86" s="1373"/>
      <c r="BK86" s="1373"/>
    </row>
    <row r="87" spans="6:63" ht="15" x14ac:dyDescent="0.25">
      <c r="P87" s="574"/>
      <c r="Q87" s="1368"/>
      <c r="R87" s="1368"/>
      <c r="T87" s="1383"/>
    </row>
    <row r="88" spans="6:63" ht="15" x14ac:dyDescent="0.25">
      <c r="P88" s="574"/>
    </row>
    <row r="89" spans="6:63" ht="15" x14ac:dyDescent="0.25">
      <c r="P89" s="574"/>
    </row>
    <row r="90" spans="6:63" x14ac:dyDescent="0.3">
      <c r="P90" s="574"/>
    </row>
    <row r="91" spans="6:63" x14ac:dyDescent="0.3">
      <c r="P91" s="574"/>
    </row>
    <row r="92" spans="6:63" x14ac:dyDescent="0.3">
      <c r="P92" s="574"/>
    </row>
    <row r="93" spans="6:63" x14ac:dyDescent="0.3">
      <c r="P93" s="574"/>
    </row>
    <row r="94" spans="6:63" x14ac:dyDescent="0.3">
      <c r="P94" s="574"/>
    </row>
    <row r="95" spans="6:63" x14ac:dyDescent="0.3">
      <c r="P95" s="574"/>
    </row>
    <row r="96" spans="6:63" x14ac:dyDescent="0.3">
      <c r="P96" s="574"/>
    </row>
    <row r="97" spans="16:16" x14ac:dyDescent="0.3">
      <c r="P97" s="574"/>
    </row>
    <row r="98" spans="16:16" x14ac:dyDescent="0.3">
      <c r="P98" s="574"/>
    </row>
    <row r="99" spans="16:16" x14ac:dyDescent="0.3">
      <c r="P99" s="574"/>
    </row>
    <row r="100" spans="16:16" x14ac:dyDescent="0.3">
      <c r="P100" s="574"/>
    </row>
    <row r="101" spans="16:16" x14ac:dyDescent="0.3">
      <c r="P101" s="574"/>
    </row>
    <row r="102" spans="16:16" x14ac:dyDescent="0.3">
      <c r="P102" s="574"/>
    </row>
    <row r="103" spans="16:16" x14ac:dyDescent="0.3">
      <c r="P103" s="574"/>
    </row>
    <row r="104" spans="16:16" x14ac:dyDescent="0.3">
      <c r="P104" s="574"/>
    </row>
    <row r="105" spans="16:16" x14ac:dyDescent="0.3">
      <c r="P105" s="574"/>
    </row>
    <row r="106" spans="16:16" x14ac:dyDescent="0.3">
      <c r="P106" s="574"/>
    </row>
    <row r="107" spans="16:16" x14ac:dyDescent="0.3">
      <c r="P107" s="574"/>
    </row>
    <row r="108" spans="16:16" x14ac:dyDescent="0.3">
      <c r="P108" s="574"/>
    </row>
  </sheetData>
  <mergeCells count="13">
    <mergeCell ref="B2:BI2"/>
    <mergeCell ref="AQ39:BI39"/>
    <mergeCell ref="U63:AL63"/>
    <mergeCell ref="AQ63:BH63"/>
    <mergeCell ref="B4:F4"/>
    <mergeCell ref="AQ4:BI4"/>
    <mergeCell ref="B5:B6"/>
    <mergeCell ref="C5:D5"/>
    <mergeCell ref="E5:F5"/>
    <mergeCell ref="B22:B23"/>
    <mergeCell ref="C22:D22"/>
    <mergeCell ref="E22:F22"/>
    <mergeCell ref="L4:N4"/>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Z79"/>
  <sheetViews>
    <sheetView topLeftCell="A49" zoomScale="55" zoomScaleNormal="55" workbookViewId="0">
      <selection activeCell="A80" sqref="A80:XFD95"/>
    </sheetView>
  </sheetViews>
  <sheetFormatPr defaultRowHeight="14.4" x14ac:dyDescent="0.3"/>
  <cols>
    <col min="1" max="1" width="10.5546875" bestFit="1" customWidth="1"/>
    <col min="2" max="2" width="42.44140625" bestFit="1" customWidth="1"/>
    <col min="3" max="20" width="12.5546875" style="866" bestFit="1" customWidth="1"/>
    <col min="21" max="23" width="12.5546875" style="866" customWidth="1"/>
    <col min="24" max="24" width="12.5546875" bestFit="1" customWidth="1"/>
    <col min="26" max="26" width="15.33203125" bestFit="1" customWidth="1"/>
  </cols>
  <sheetData>
    <row r="2" spans="1:26" s="574" customFormat="1" ht="26.25" x14ac:dyDescent="0.4">
      <c r="C2" s="1918" t="s">
        <v>636</v>
      </c>
      <c r="D2" s="1918"/>
      <c r="E2" s="1918"/>
      <c r="F2" s="1918"/>
      <c r="G2" s="1918"/>
      <c r="H2" s="1918"/>
      <c r="I2" s="1918"/>
      <c r="J2" s="1918"/>
      <c r="K2" s="1918"/>
      <c r="L2" s="1918"/>
      <c r="M2" s="1918"/>
      <c r="N2" s="1918"/>
      <c r="O2" s="1918"/>
      <c r="P2" s="1918"/>
      <c r="Q2" s="1918"/>
      <c r="R2" s="1918"/>
      <c r="S2" s="1918"/>
      <c r="T2" s="1918"/>
      <c r="U2" s="1404"/>
      <c r="V2" s="1404"/>
      <c r="W2" s="1404"/>
    </row>
    <row r="3" spans="1:26" s="574" customFormat="1" ht="15" x14ac:dyDescent="0.25">
      <c r="C3" s="866"/>
      <c r="D3" s="866"/>
      <c r="E3" s="866"/>
      <c r="F3" s="866"/>
      <c r="G3" s="866"/>
      <c r="H3" s="866"/>
      <c r="I3" s="866"/>
      <c r="J3" s="866"/>
      <c r="K3" s="866"/>
      <c r="L3" s="866"/>
      <c r="M3" s="866"/>
      <c r="N3" s="866"/>
      <c r="O3" s="866"/>
      <c r="P3" s="866"/>
      <c r="Q3" s="866"/>
      <c r="R3" s="866"/>
      <c r="S3" s="866"/>
      <c r="T3" s="866"/>
      <c r="U3" s="866"/>
      <c r="V3" s="866"/>
      <c r="W3" s="866"/>
    </row>
    <row r="4" spans="1:26" ht="21" x14ac:dyDescent="0.35">
      <c r="A4" s="865">
        <v>1</v>
      </c>
      <c r="B4" s="865" t="s">
        <v>502</v>
      </c>
    </row>
    <row r="5" spans="1:26" ht="15.75" x14ac:dyDescent="0.25">
      <c r="B5" s="862" t="s">
        <v>0</v>
      </c>
      <c r="C5" s="869">
        <f>2023</f>
        <v>2023</v>
      </c>
      <c r="D5" s="869">
        <f>C5+1</f>
        <v>2024</v>
      </c>
      <c r="E5" s="869">
        <f t="shared" ref="E5:T5" si="0">D5+1</f>
        <v>2025</v>
      </c>
      <c r="F5" s="869">
        <f t="shared" si="0"/>
        <v>2026</v>
      </c>
      <c r="G5" s="869">
        <f t="shared" si="0"/>
        <v>2027</v>
      </c>
      <c r="H5" s="869">
        <f t="shared" si="0"/>
        <v>2028</v>
      </c>
      <c r="I5" s="869">
        <f t="shared" si="0"/>
        <v>2029</v>
      </c>
      <c r="J5" s="869">
        <f t="shared" si="0"/>
        <v>2030</v>
      </c>
      <c r="K5" s="869">
        <f t="shared" si="0"/>
        <v>2031</v>
      </c>
      <c r="L5" s="869">
        <f t="shared" si="0"/>
        <v>2032</v>
      </c>
      <c r="M5" s="869">
        <f t="shared" si="0"/>
        <v>2033</v>
      </c>
      <c r="N5" s="869">
        <f t="shared" si="0"/>
        <v>2034</v>
      </c>
      <c r="O5" s="869">
        <f t="shared" si="0"/>
        <v>2035</v>
      </c>
      <c r="P5" s="869">
        <f t="shared" si="0"/>
        <v>2036</v>
      </c>
      <c r="Q5" s="869">
        <f t="shared" si="0"/>
        <v>2037</v>
      </c>
      <c r="R5" s="869">
        <f t="shared" si="0"/>
        <v>2038</v>
      </c>
      <c r="S5" s="869">
        <f t="shared" si="0"/>
        <v>2039</v>
      </c>
      <c r="T5" s="869">
        <f t="shared" si="0"/>
        <v>2040</v>
      </c>
      <c r="U5" s="869">
        <f t="shared" ref="U5" si="1">T5+1</f>
        <v>2041</v>
      </c>
      <c r="V5" s="869">
        <f t="shared" ref="V5" si="2">U5+1</f>
        <v>2042</v>
      </c>
      <c r="W5" s="869">
        <f t="shared" ref="W5" si="3">V5+1</f>
        <v>2043</v>
      </c>
    </row>
    <row r="6" spans="1:26" ht="15" x14ac:dyDescent="0.25">
      <c r="B6" s="1397" t="s">
        <v>573</v>
      </c>
      <c r="C6" s="867">
        <f>VMT.VHT.ADT.Trip.Types!AQ6</f>
        <v>328208471.54129839</v>
      </c>
      <c r="D6" s="867">
        <f>VMT.VHT.ADT.Trip.Types!AR6</f>
        <v>330966672.25379324</v>
      </c>
      <c r="E6" s="867">
        <f>VMT.VHT.ADT.Trip.Types!AS6</f>
        <v>333748052.35326332</v>
      </c>
      <c r="F6" s="867">
        <f>VMT.VHT.ADT.Trip.Types!AT6</f>
        <v>336552806.63480759</v>
      </c>
      <c r="G6" s="867">
        <f>VMT.VHT.ADT.Trip.Types!AU6</f>
        <v>339381131.53054529</v>
      </c>
      <c r="H6" s="867">
        <f>VMT.VHT.ADT.Trip.Types!AV6</f>
        <v>342233225.12337345</v>
      </c>
      <c r="I6" s="867">
        <f>VMT.VHT.ADT.Trip.Types!AW6</f>
        <v>345109287.16083956</v>
      </c>
      <c r="J6" s="867">
        <f>VMT.VHT.ADT.Trip.Types!AX6</f>
        <v>348009519.06913096</v>
      </c>
      <c r="K6" s="867">
        <f>VMT.VHT.ADT.Trip.Types!AY6</f>
        <v>350934123.96718186</v>
      </c>
      <c r="L6" s="867">
        <f>VMT.VHT.ADT.Trip.Types!AZ6</f>
        <v>353883306.68089879</v>
      </c>
      <c r="M6" s="867">
        <f>VMT.VHT.ADT.Trip.Types!BA6</f>
        <v>356857273.75750566</v>
      </c>
      <c r="N6" s="867">
        <f>VMT.VHT.ADT.Trip.Types!BB6</f>
        <v>359856233.48000956</v>
      </c>
      <c r="O6" s="867">
        <f>VMT.VHT.ADT.Trip.Types!BC6</f>
        <v>362880395.88178772</v>
      </c>
      <c r="P6" s="867">
        <f>VMT.VHT.ADT.Trip.Types!BD6</f>
        <v>365929972.76129746</v>
      </c>
      <c r="Q6" s="867">
        <f>VMT.VHT.ADT.Trip.Types!BE6</f>
        <v>369005177.69690943</v>
      </c>
      <c r="R6" s="867">
        <f>VMT.VHT.ADT.Trip.Types!BF6</f>
        <v>372106226.06186557</v>
      </c>
      <c r="S6" s="867">
        <f>VMT.VHT.ADT.Trip.Types!BG6</f>
        <v>375233335.03936327</v>
      </c>
      <c r="T6" s="867">
        <f>VMT.VHT.ADT.Trip.Types!BH6</f>
        <v>378386723.63776565</v>
      </c>
      <c r="U6" s="867">
        <f>VMT.VHT.ADT.Trip.Types!BI6</f>
        <v>381566612.70593965</v>
      </c>
      <c r="V6" s="867">
        <f>VMT.VHT.ADT.Trip.Types!BJ6</f>
        <v>384773224.94872373</v>
      </c>
      <c r="W6" s="867">
        <f>VMT.VHT.ADT.Trip.Types!BK6</f>
        <v>388006784.94252479</v>
      </c>
    </row>
    <row r="7" spans="1:26" ht="15" x14ac:dyDescent="0.25">
      <c r="B7" s="1397" t="s">
        <v>574</v>
      </c>
      <c r="C7" s="867">
        <f>VMT.VHT.ADT.Trip.Types!AQ7</f>
        <v>177812159.16264874</v>
      </c>
      <c r="D7" s="867">
        <f>VMT.VHT.ADT.Trip.Types!AR7</f>
        <v>177951687.01386541</v>
      </c>
      <c r="E7" s="867">
        <f>VMT.VHT.ADT.Trip.Types!AS7</f>
        <v>178091324.35152757</v>
      </c>
      <c r="F7" s="867">
        <f>VMT.VHT.ADT.Trip.Types!AT7</f>
        <v>178231071.26154837</v>
      </c>
      <c r="G7" s="867">
        <f>VMT.VHT.ADT.Trip.Types!AU7</f>
        <v>178370927.82990837</v>
      </c>
      <c r="H7" s="867">
        <f>VMT.VHT.ADT.Trip.Types!AV7</f>
        <v>178510894.1426557</v>
      </c>
      <c r="I7" s="867">
        <f>VMT.VHT.ADT.Trip.Types!AW7</f>
        <v>178650970.28590593</v>
      </c>
      <c r="J7" s="867">
        <f>VMT.VHT.ADT.Trip.Types!AX7</f>
        <v>178791156.34584215</v>
      </c>
      <c r="K7" s="867">
        <f>VMT.VHT.ADT.Trip.Types!AY7</f>
        <v>178931452.40871525</v>
      </c>
      <c r="L7" s="867">
        <f>VMT.VHT.ADT.Trip.Types!AZ7</f>
        <v>179071858.56084365</v>
      </c>
      <c r="M7" s="867">
        <f>VMT.VHT.ADT.Trip.Types!BA7</f>
        <v>179212374.88861361</v>
      </c>
      <c r="N7" s="867">
        <f>VMT.VHT.ADT.Trip.Types!BB7</f>
        <v>179353001.47847897</v>
      </c>
      <c r="O7" s="867">
        <f>VMT.VHT.ADT.Trip.Types!BC7</f>
        <v>179493738.4169617</v>
      </c>
      <c r="P7" s="867">
        <f>VMT.VHT.ADT.Trip.Types!BD7</f>
        <v>179634585.79065153</v>
      </c>
      <c r="Q7" s="867">
        <f>VMT.VHT.ADT.Trip.Types!BE7</f>
        <v>179775543.68620604</v>
      </c>
      <c r="R7" s="867">
        <f>VMT.VHT.ADT.Trip.Types!BF7</f>
        <v>179916612.19035089</v>
      </c>
      <c r="S7" s="867">
        <f>VMT.VHT.ADT.Trip.Types!BG7</f>
        <v>180057791.38987991</v>
      </c>
      <c r="T7" s="867">
        <f>VMT.VHT.ADT.Trip.Types!BH7</f>
        <v>180199081.37165487</v>
      </c>
      <c r="U7" s="867">
        <f>VMT.VHT.ADT.Trip.Types!BI7</f>
        <v>180340482.22260574</v>
      </c>
      <c r="V7" s="867">
        <f>VMT.VHT.ADT.Trip.Types!BJ7</f>
        <v>180481994.02973074</v>
      </c>
      <c r="W7" s="867">
        <f>VMT.VHT.ADT.Trip.Types!BK7</f>
        <v>180623616.88009629</v>
      </c>
    </row>
    <row r="8" spans="1:26" ht="15" x14ac:dyDescent="0.25">
      <c r="B8" s="1397" t="s">
        <v>575</v>
      </c>
      <c r="C8" s="867">
        <f>VMT.VHT.ADT.Trip.Types!AQ8</f>
        <v>108020089.30769104</v>
      </c>
      <c r="D8" s="867">
        <f>VMT.VHT.ADT.Trip.Types!AR8</f>
        <v>108917038.63514632</v>
      </c>
      <c r="E8" s="867">
        <f>VMT.VHT.ADT.Trip.Types!AS8</f>
        <v>109821435.81883998</v>
      </c>
      <c r="F8" s="867">
        <f>VMT.VHT.ADT.Trip.Types!AT8</f>
        <v>110733342.70235769</v>
      </c>
      <c r="G8" s="867">
        <f>VMT.VHT.ADT.Trip.Types!AU8</f>
        <v>111652821.6428059</v>
      </c>
      <c r="H8" s="867">
        <f>VMT.VHT.ADT.Trip.Types!AV8</f>
        <v>112579935.51507585</v>
      </c>
      <c r="I8" s="867">
        <f>VMT.VHT.ADT.Trip.Types!AW8</f>
        <v>113514747.7161431</v>
      </c>
      <c r="J8" s="867">
        <f>VMT.VHT.ADT.Trip.Types!AX8</f>
        <v>114457322.1694027</v>
      </c>
      <c r="K8" s="867">
        <f>VMT.VHT.ADT.Trip.Types!AY8</f>
        <v>115407723.32904024</v>
      </c>
      <c r="L8" s="867">
        <f>VMT.VHT.ADT.Trip.Types!AZ8</f>
        <v>116366016.18443927</v>
      </c>
      <c r="M8" s="867">
        <f>VMT.VHT.ADT.Trip.Types!BA8</f>
        <v>117332266.26462553</v>
      </c>
      <c r="N8" s="867">
        <f>VMT.VHT.ADT.Trip.Types!BB8</f>
        <v>118306539.64274769</v>
      </c>
      <c r="O8" s="867">
        <f>VMT.VHT.ADT.Trip.Types!BC8</f>
        <v>119288902.94059554</v>
      </c>
      <c r="P8" s="867">
        <f>VMT.VHT.ADT.Trip.Types!BD8</f>
        <v>120279423.33315578</v>
      </c>
      <c r="Q8" s="867">
        <f>VMT.VHT.ADT.Trip.Types!BE8</f>
        <v>121278168.55320533</v>
      </c>
      <c r="R8" s="867">
        <f>VMT.VHT.ADT.Trip.Types!BF8</f>
        <v>122285206.89594311</v>
      </c>
      <c r="S8" s="867">
        <f>VMT.VHT.ADT.Trip.Types!BG8</f>
        <v>123300607.22366008</v>
      </c>
      <c r="T8" s="867">
        <f>VMT.VHT.ADT.Trip.Types!BH8</f>
        <v>124324438.97044809</v>
      </c>
      <c r="U8" s="867">
        <f>VMT.VHT.ADT.Trip.Types!BI8</f>
        <v>125356772.14694786</v>
      </c>
      <c r="V8" s="867">
        <f>VMT.VHT.ADT.Trip.Types!BJ8</f>
        <v>126397677.34513642</v>
      </c>
      <c r="W8" s="867">
        <f>VMT.VHT.ADT.Trip.Types!BK8</f>
        <v>127447225.74315426</v>
      </c>
      <c r="X8" s="870">
        <f>SUM(T6:T8)</f>
        <v>682910243.97986865</v>
      </c>
      <c r="Y8" t="s">
        <v>385</v>
      </c>
    </row>
    <row r="9" spans="1:26" ht="15" x14ac:dyDescent="0.25">
      <c r="B9" s="1397" t="s">
        <v>140</v>
      </c>
      <c r="C9" s="867">
        <f>VMT.VHT.ADT.Trip.Types!AQ9</f>
        <v>47512403.086307317</v>
      </c>
      <c r="D9" s="867">
        <f>VMT.VHT.ADT.Trip.Types!AR9</f>
        <v>47823729.657975234</v>
      </c>
      <c r="E9" s="867">
        <f>VMT.VHT.ADT.Trip.Types!AS9</f>
        <v>48137096.207163334</v>
      </c>
      <c r="F9" s="867">
        <f>VMT.VHT.ADT.Trip.Types!AT9</f>
        <v>48452516.100890905</v>
      </c>
      <c r="G9" s="867">
        <f>VMT.VHT.ADT.Trip.Types!AU9</f>
        <v>48770002.793765053</v>
      </c>
      <c r="H9" s="867">
        <f>VMT.VHT.ADT.Trip.Types!AV9</f>
        <v>49089569.8285546</v>
      </c>
      <c r="I9" s="867">
        <f>VMT.VHT.ADT.Trip.Types!AW9</f>
        <v>49411230.836767867</v>
      </c>
      <c r="J9" s="867">
        <f>VMT.VHT.ADT.Trip.Types!AX9</f>
        <v>49734999.539234027</v>
      </c>
      <c r="K9" s="867">
        <f>VMT.VHT.ADT.Trip.Types!AY9</f>
        <v>50060889.746688448</v>
      </c>
      <c r="L9" s="867">
        <f>VMT.VHT.ADT.Trip.Types!AZ9</f>
        <v>50388915.360361814</v>
      </c>
      <c r="M9" s="867">
        <f>VMT.VHT.ADT.Trip.Types!BA9</f>
        <v>50719090.37257304</v>
      </c>
      <c r="N9" s="867">
        <f>VMT.VHT.ADT.Trip.Types!BB9</f>
        <v>51051428.867326185</v>
      </c>
      <c r="O9" s="867">
        <f>VMT.VHT.ADT.Trip.Types!BC9</f>
        <v>51385945.020911202</v>
      </c>
      <c r="P9" s="867">
        <f>VMT.VHT.ADT.Trip.Types!BD9</f>
        <v>51722653.102508679</v>
      </c>
      <c r="Q9" s="867">
        <f>VMT.VHT.ADT.Trip.Types!BE9</f>
        <v>52061567.474798411</v>
      </c>
      <c r="R9" s="867">
        <f>VMT.VHT.ADT.Trip.Types!BF9</f>
        <v>52402702.594572172</v>
      </c>
      <c r="S9" s="867">
        <f>VMT.VHT.ADT.Trip.Types!BG9</f>
        <v>52746073.013350315</v>
      </c>
      <c r="T9" s="867">
        <f>VMT.VHT.ADT.Trip.Types!BH9</f>
        <v>53091693.378002509</v>
      </c>
      <c r="U9" s="867">
        <f>VMT.VHT.ADT.Trip.Types!BI9</f>
        <v>53439578.431372523</v>
      </c>
      <c r="V9" s="867">
        <f>VMT.VHT.ADT.Trip.Types!BJ9</f>
        <v>53789743.012907073</v>
      </c>
      <c r="W9" s="867">
        <f>VMT.VHT.ADT.Trip.Types!BK9</f>
        <v>54142202.059288852</v>
      </c>
      <c r="X9" s="870">
        <f>T9</f>
        <v>53091693.378002509</v>
      </c>
      <c r="Y9" t="s">
        <v>140</v>
      </c>
    </row>
    <row r="10" spans="1:26" ht="15" x14ac:dyDescent="0.25">
      <c r="B10" s="1396" t="s">
        <v>5</v>
      </c>
      <c r="C10" s="867">
        <f>SUM(C6:C9)</f>
        <v>661553123.09794545</v>
      </c>
      <c r="D10" s="867">
        <f t="shared" ref="D10:T10" si="4">SUM(D6:D9)</f>
        <v>665659127.56078017</v>
      </c>
      <c r="E10" s="867">
        <f t="shared" si="4"/>
        <v>669797908.73079419</v>
      </c>
      <c r="F10" s="867">
        <f t="shared" si="4"/>
        <v>673969736.69960451</v>
      </c>
      <c r="G10" s="867">
        <f t="shared" si="4"/>
        <v>678174883.79702461</v>
      </c>
      <c r="H10" s="867">
        <f t="shared" si="4"/>
        <v>682413624.60965955</v>
      </c>
      <c r="I10" s="867">
        <f t="shared" si="4"/>
        <v>686686235.99965656</v>
      </c>
      <c r="J10" s="867">
        <f t="shared" si="4"/>
        <v>690992997.1236099</v>
      </c>
      <c r="K10" s="867">
        <f t="shared" si="4"/>
        <v>695334189.45162582</v>
      </c>
      <c r="L10" s="867">
        <f t="shared" si="4"/>
        <v>699710096.78654349</v>
      </c>
      <c r="M10" s="867">
        <f t="shared" si="4"/>
        <v>704121005.2833178</v>
      </c>
      <c r="N10" s="867">
        <f t="shared" si="4"/>
        <v>708567203.46856225</v>
      </c>
      <c r="O10" s="867">
        <f t="shared" si="4"/>
        <v>713048982.26025617</v>
      </c>
      <c r="P10" s="867">
        <f t="shared" si="4"/>
        <v>717566634.98761344</v>
      </c>
      <c r="Q10" s="867">
        <f t="shared" si="4"/>
        <v>722120457.41111934</v>
      </c>
      <c r="R10" s="867">
        <f t="shared" si="4"/>
        <v>726710747.74273169</v>
      </c>
      <c r="S10" s="867">
        <f t="shared" si="4"/>
        <v>731337806.66625369</v>
      </c>
      <c r="T10" s="867">
        <f t="shared" si="4"/>
        <v>736001937.35787117</v>
      </c>
      <c r="U10" s="867">
        <f t="shared" ref="U10:W10" si="5">SUM(U6:U9)</f>
        <v>740703445.50686574</v>
      </c>
      <c r="V10" s="867">
        <f t="shared" si="5"/>
        <v>745442639.3364979</v>
      </c>
      <c r="W10" s="867">
        <f t="shared" si="5"/>
        <v>750219829.62506425</v>
      </c>
      <c r="X10" s="870">
        <f>X8+X9</f>
        <v>736001937.35787117</v>
      </c>
      <c r="Y10" t="s">
        <v>5</v>
      </c>
      <c r="Z10" s="870">
        <f>SUM(C10:W10)</f>
        <v>14800132613.503401</v>
      </c>
    </row>
    <row r="11" spans="1:26" ht="15" x14ac:dyDescent="0.25">
      <c r="B11" s="864"/>
      <c r="C11" s="867"/>
      <c r="D11" s="867"/>
    </row>
    <row r="12" spans="1:26" ht="21" x14ac:dyDescent="0.35">
      <c r="A12" s="865">
        <v>2</v>
      </c>
      <c r="B12" s="865" t="s">
        <v>639</v>
      </c>
      <c r="C12" s="867"/>
      <c r="D12" s="867"/>
    </row>
    <row r="13" spans="1:26" ht="15.75" x14ac:dyDescent="0.25">
      <c r="B13" s="862" t="s">
        <v>0</v>
      </c>
      <c r="C13" s="869">
        <f>2023</f>
        <v>2023</v>
      </c>
      <c r="D13" s="869">
        <f>C13+1</f>
        <v>2024</v>
      </c>
      <c r="E13" s="869">
        <f t="shared" ref="E13" si="6">D13+1</f>
        <v>2025</v>
      </c>
      <c r="F13" s="869">
        <f t="shared" ref="F13" si="7">E13+1</f>
        <v>2026</v>
      </c>
      <c r="G13" s="869">
        <f t="shared" ref="G13" si="8">F13+1</f>
        <v>2027</v>
      </c>
      <c r="H13" s="869">
        <f t="shared" ref="H13" si="9">G13+1</f>
        <v>2028</v>
      </c>
      <c r="I13" s="869">
        <f t="shared" ref="I13" si="10">H13+1</f>
        <v>2029</v>
      </c>
      <c r="J13" s="869">
        <f t="shared" ref="J13" si="11">I13+1</f>
        <v>2030</v>
      </c>
      <c r="K13" s="869">
        <f t="shared" ref="K13" si="12">J13+1</f>
        <v>2031</v>
      </c>
      <c r="L13" s="869">
        <f t="shared" ref="L13" si="13">K13+1</f>
        <v>2032</v>
      </c>
      <c r="M13" s="869">
        <f t="shared" ref="M13" si="14">L13+1</f>
        <v>2033</v>
      </c>
      <c r="N13" s="869">
        <f t="shared" ref="N13" si="15">M13+1</f>
        <v>2034</v>
      </c>
      <c r="O13" s="869">
        <f t="shared" ref="O13" si="16">N13+1</f>
        <v>2035</v>
      </c>
      <c r="P13" s="869">
        <f t="shared" ref="P13" si="17">O13+1</f>
        <v>2036</v>
      </c>
      <c r="Q13" s="869">
        <f t="shared" ref="Q13" si="18">P13+1</f>
        <v>2037</v>
      </c>
      <c r="R13" s="869">
        <f t="shared" ref="R13" si="19">Q13+1</f>
        <v>2038</v>
      </c>
      <c r="S13" s="869">
        <f t="shared" ref="S13" si="20">R13+1</f>
        <v>2039</v>
      </c>
      <c r="T13" s="869">
        <f t="shared" ref="T13" si="21">S13+1</f>
        <v>2040</v>
      </c>
      <c r="U13" s="869">
        <f t="shared" ref="U13" si="22">T13+1</f>
        <v>2041</v>
      </c>
      <c r="V13" s="869">
        <f t="shared" ref="V13" si="23">U13+1</f>
        <v>2042</v>
      </c>
      <c r="W13" s="869">
        <f t="shared" ref="W13" si="24">V13+1</f>
        <v>2043</v>
      </c>
    </row>
    <row r="14" spans="1:26" ht="15" x14ac:dyDescent="0.25">
      <c r="B14" s="1397" t="s">
        <v>573</v>
      </c>
      <c r="C14" s="867">
        <f>VMT.VHT.ADT.Trip.Types!AQ13</f>
        <v>375037177.63611716</v>
      </c>
      <c r="D14" s="867">
        <f>VMT.VHT.ADT.Trip.Types!AR13</f>
        <v>379030584.88197547</v>
      </c>
      <c r="E14" s="867">
        <f>VMT.VHT.ADT.Trip.Types!AS13</f>
        <v>383066514.04934514</v>
      </c>
      <c r="F14" s="867">
        <f>VMT.VHT.ADT.Trip.Types!AT13</f>
        <v>387145417.91293657</v>
      </c>
      <c r="G14" s="867">
        <f>VMT.VHT.ADT.Trip.Types!AU13</f>
        <v>391267754.06861871</v>
      </c>
      <c r="H14" s="867">
        <f>VMT.VHT.ADT.Trip.Types!AV13</f>
        <v>395433984.98475569</v>
      </c>
      <c r="I14" s="867">
        <f>VMT.VHT.ADT.Trip.Types!AW13</f>
        <v>399644578.05408847</v>
      </c>
      <c r="J14" s="867">
        <f>VMT.VHT.ADT.Trip.Types!AX13</f>
        <v>403900005.64617032</v>
      </c>
      <c r="K14" s="867">
        <f>VMT.VHT.ADT.Trip.Types!AY13</f>
        <v>408200745.16035944</v>
      </c>
      <c r="L14" s="867">
        <f>VMT.VHT.ADT.Trip.Types!AZ13</f>
        <v>412547279.07937741</v>
      </c>
      <c r="M14" s="867">
        <f>VMT.VHT.ADT.Trip.Types!BA13</f>
        <v>416940095.02343607</v>
      </c>
      <c r="N14" s="867">
        <f>VMT.VHT.ADT.Trip.Types!BB13</f>
        <v>421379685.80494255</v>
      </c>
      <c r="O14" s="867">
        <f>VMT.VHT.ADT.Trip.Types!BC13</f>
        <v>425866549.48378462</v>
      </c>
      <c r="P14" s="867">
        <f>VMT.VHT.ADT.Trip.Types!BD13</f>
        <v>430401189.42320776</v>
      </c>
      <c r="Q14" s="867">
        <f>VMT.VHT.ADT.Trip.Types!BE13</f>
        <v>434984114.34628379</v>
      </c>
      <c r="R14" s="867">
        <f>VMT.VHT.ADT.Trip.Types!BF13</f>
        <v>439615838.39298397</v>
      </c>
      <c r="S14" s="867">
        <f>VMT.VHT.ADT.Trip.Types!BG13</f>
        <v>444296881.17785674</v>
      </c>
      <c r="T14" s="867">
        <f>VMT.VHT.ADT.Trip.Types!BH13</f>
        <v>449027767.84832275</v>
      </c>
      <c r="U14" s="867">
        <f>VMT.VHT.ADT.Trip.Types!BI13</f>
        <v>453809029.14358813</v>
      </c>
      <c r="V14" s="867">
        <f>VMT.VHT.ADT.Trip.Types!BJ13</f>
        <v>458641201.45418578</v>
      </c>
      <c r="W14" s="867">
        <f>VMT.VHT.ADT.Trip.Types!BK13</f>
        <v>463524826.88215166</v>
      </c>
    </row>
    <row r="15" spans="1:26" ht="15" x14ac:dyDescent="0.25">
      <c r="B15" s="1397" t="s">
        <v>574</v>
      </c>
      <c r="C15" s="867">
        <f>VMT.VHT.ADT.Trip.Types!AQ14</f>
        <v>203660028.89038733</v>
      </c>
      <c r="D15" s="867">
        <f>VMT.VHT.ADT.Trip.Types!AR14</f>
        <v>204251267.71475518</v>
      </c>
      <c r="E15" s="867">
        <f>VMT.VHT.ADT.Trip.Types!AS14</f>
        <v>204844222.94537786</v>
      </c>
      <c r="F15" s="867">
        <f>VMT.VHT.ADT.Trip.Types!AT14</f>
        <v>205438899.56509867</v>
      </c>
      <c r="G15" s="867">
        <f>VMT.VHT.ADT.Trip.Types!AU14</f>
        <v>206035302.57122642</v>
      </c>
      <c r="H15" s="867">
        <f>VMT.VHT.ADT.Trip.Types!AV14</f>
        <v>206633436.97557756</v>
      </c>
      <c r="I15" s="867">
        <f>VMT.VHT.ADT.Trip.Types!AW14</f>
        <v>207233307.80451813</v>
      </c>
      <c r="J15" s="867">
        <f>VMT.VHT.ADT.Trip.Types!AX14</f>
        <v>207834920.09900597</v>
      </c>
      <c r="K15" s="867">
        <f>VMT.VHT.ADT.Trip.Types!AY14</f>
        <v>208438278.91463324</v>
      </c>
      <c r="L15" s="867">
        <f>VMT.VHT.ADT.Trip.Types!AZ14</f>
        <v>209043389.32166886</v>
      </c>
      <c r="M15" s="867">
        <f>VMT.VHT.ADT.Trip.Types!BA14</f>
        <v>209650256.40510103</v>
      </c>
      <c r="N15" s="867">
        <f>VMT.VHT.ADT.Trip.Types!BB14</f>
        <v>210258885.26468</v>
      </c>
      <c r="O15" s="867">
        <f>VMT.VHT.ADT.Trip.Types!BC14</f>
        <v>210869281.01496094</v>
      </c>
      <c r="P15" s="867">
        <f>VMT.VHT.ADT.Trip.Types!BD14</f>
        <v>211481448.78534696</v>
      </c>
      <c r="Q15" s="867">
        <f>VMT.VHT.ADT.Trip.Types!BE14</f>
        <v>212095393.7201322</v>
      </c>
      <c r="R15" s="867">
        <f>VMT.VHT.ADT.Trip.Types!BF14</f>
        <v>212711120.97854486</v>
      </c>
      <c r="S15" s="867">
        <f>VMT.VHT.ADT.Trip.Types!BG14</f>
        <v>213328635.73479098</v>
      </c>
      <c r="T15" s="867">
        <f>VMT.VHT.ADT.Trip.Types!BH14</f>
        <v>213947943.17809755</v>
      </c>
      <c r="U15" s="867">
        <f>VMT.VHT.ADT.Trip.Types!BI14</f>
        <v>214569048.51275608</v>
      </c>
      <c r="V15" s="867">
        <f>VMT.VHT.ADT.Trip.Types!BJ14</f>
        <v>215191956.95816684</v>
      </c>
      <c r="W15" s="867">
        <f>VMT.VHT.ADT.Trip.Types!BK14</f>
        <v>215816673.748882</v>
      </c>
    </row>
    <row r="16" spans="1:26" ht="15" x14ac:dyDescent="0.25">
      <c r="B16" s="1397" t="s">
        <v>575</v>
      </c>
      <c r="C16" s="867">
        <f>VMT.VHT.ADT.Trip.Types!AQ15</f>
        <v>123443581.15744081</v>
      </c>
      <c r="D16" s="867">
        <f>VMT.VHT.ADT.Trip.Types!AR15</f>
        <v>124745900.92910464</v>
      </c>
      <c r="E16" s="867">
        <f>VMT.VHT.ADT.Trip.Types!AS15</f>
        <v>126061960.06875962</v>
      </c>
      <c r="F16" s="867">
        <f>VMT.VHT.ADT.Trip.Types!AT15</f>
        <v>127391903.52562399</v>
      </c>
      <c r="G16" s="867">
        <f>VMT.VHT.ADT.Trip.Types!AU15</f>
        <v>128735877.77811846</v>
      </c>
      <c r="H16" s="867">
        <f>VMT.VHT.ADT.Trip.Types!AV15</f>
        <v>130094030.84999922</v>
      </c>
      <c r="I16" s="867">
        <f>VMT.VHT.ADT.Trip.Types!AW15</f>
        <v>131466512.32666117</v>
      </c>
      <c r="J16" s="867">
        <f>VMT.VHT.ADT.Trip.Types!AX15</f>
        <v>132853473.37161282</v>
      </c>
      <c r="K16" s="867">
        <f>VMT.VHT.ADT.Trip.Types!AY15</f>
        <v>134255066.74312556</v>
      </c>
      <c r="L16" s="867">
        <f>VMT.VHT.ADT.Trip.Types!AZ15</f>
        <v>135671446.81105816</v>
      </c>
      <c r="M16" s="867">
        <f>VMT.VHT.ADT.Trip.Types!BA15</f>
        <v>137102769.57385886</v>
      </c>
      <c r="N16" s="867">
        <f>VMT.VHT.ADT.Trip.Types!BB15</f>
        <v>138549192.67574686</v>
      </c>
      <c r="O16" s="867">
        <f>VMT.VHT.ADT.Trip.Types!BC15</f>
        <v>140010875.4240751</v>
      </c>
      <c r="P16" s="867">
        <f>VMT.VHT.ADT.Trip.Types!BD15</f>
        <v>141487978.80687618</v>
      </c>
      <c r="Q16" s="867">
        <f>VMT.VHT.ADT.Trip.Types!BE15</f>
        <v>142980665.51059338</v>
      </c>
      <c r="R16" s="867">
        <f>VMT.VHT.ADT.Trip.Types!BF15</f>
        <v>144489099.9379988</v>
      </c>
      <c r="S16" s="867">
        <f>VMT.VHT.ADT.Trip.Types!BG15</f>
        <v>146013448.22630042</v>
      </c>
      <c r="T16" s="867">
        <f>VMT.VHT.ADT.Trip.Types!BH15</f>
        <v>147553878.26544032</v>
      </c>
      <c r="U16" s="867">
        <f>VMT.VHT.ADT.Trip.Types!BI15</f>
        <v>149110559.71658581</v>
      </c>
      <c r="V16" s="867">
        <f>VMT.VHT.ADT.Trip.Types!BJ15</f>
        <v>150683664.03081584</v>
      </c>
      <c r="W16" s="867">
        <f>VMT.VHT.ADT.Trip.Types!BK15</f>
        <v>152273364.46800417</v>
      </c>
      <c r="X16" s="870">
        <f>SUM(T14:T16)</f>
        <v>810529589.2918607</v>
      </c>
      <c r="Y16" s="574" t="s">
        <v>385</v>
      </c>
    </row>
    <row r="17" spans="1:26" ht="15" x14ac:dyDescent="0.25">
      <c r="B17" s="1397" t="s">
        <v>140</v>
      </c>
      <c r="C17" s="867">
        <f>VMT.VHT.ADT.Trip.Types!AQ16</f>
        <v>42938313.72549019</v>
      </c>
      <c r="D17" s="867">
        <f>VMT.VHT.ADT.Trip.Types!AR16</f>
        <v>43928799.471549749</v>
      </c>
      <c r="E17" s="867">
        <f>VMT.VHT.ADT.Trip.Types!AS16</f>
        <v>44942133.390442051</v>
      </c>
      <c r="F17" s="867">
        <f>VMT.VHT.ADT.Trip.Types!AT16</f>
        <v>45978842.535689972</v>
      </c>
      <c r="G17" s="867">
        <f>VMT.VHT.ADT.Trip.Types!AU16</f>
        <v>47039466.118699506</v>
      </c>
      <c r="H17" s="867">
        <f>VMT.VHT.ADT.Trip.Types!AV16</f>
        <v>48124555.789213605</v>
      </c>
      <c r="I17" s="867">
        <f>VMT.VHT.ADT.Trip.Types!AW16</f>
        <v>49234675.922235183</v>
      </c>
      <c r="J17" s="867">
        <f>VMT.VHT.ADT.Trip.Types!AX16</f>
        <v>50370403.911568999</v>
      </c>
      <c r="K17" s="867">
        <f>VMT.VHT.ADT.Trip.Types!AY16</f>
        <v>51532330.470134646</v>
      </c>
      <c r="L17" s="867">
        <f>VMT.VHT.ADT.Trip.Types!AZ16</f>
        <v>52721059.937207259</v>
      </c>
      <c r="M17" s="867">
        <f>VMT.VHT.ADT.Trip.Types!BA16</f>
        <v>53937210.592745341</v>
      </c>
      <c r="N17" s="867">
        <f>VMT.VHT.ADT.Trip.Types!BB16</f>
        <v>55181414.978969567</v>
      </c>
      <c r="O17" s="867">
        <f>VMT.VHT.ADT.Trip.Types!BC16</f>
        <v>56454320.229359478</v>
      </c>
      <c r="P17" s="867">
        <f>VMT.VHT.ADT.Trip.Types!BD16</f>
        <v>57756588.405239582</v>
      </c>
      <c r="Q17" s="867">
        <f>VMT.VHT.ADT.Trip.Types!BE16</f>
        <v>59088896.840129457</v>
      </c>
      <c r="R17" s="867">
        <f>VMT.VHT.ADT.Trip.Types!BF16</f>
        <v>60451938.492037356</v>
      </c>
      <c r="S17" s="867">
        <f>VMT.VHT.ADT.Trip.Types!BG16</f>
        <v>61846422.303880334</v>
      </c>
      <c r="T17" s="867">
        <f>VMT.VHT.ADT.Trip.Types!BH16</f>
        <v>63273073.5722185</v>
      </c>
      <c r="U17" s="867">
        <f>VMT.VHT.ADT.Trip.Types!BI16</f>
        <v>64732634.324494973</v>
      </c>
      <c r="V17" s="867">
        <f>VMT.VHT.ADT.Trip.Types!BJ16</f>
        <v>66225863.704977952</v>
      </c>
      <c r="W17" s="867">
        <f>VMT.VHT.ADT.Trip.Types!BK16</f>
        <v>67753538.369605541</v>
      </c>
      <c r="X17" s="870">
        <f>T17</f>
        <v>63273073.5722185</v>
      </c>
      <c r="Y17" s="574" t="s">
        <v>140</v>
      </c>
    </row>
    <row r="18" spans="1:26" ht="15" x14ac:dyDescent="0.25">
      <c r="B18" s="1396" t="s">
        <v>5</v>
      </c>
      <c r="C18" s="867">
        <f>SUM(C14:C17)</f>
        <v>745079101.40943551</v>
      </c>
      <c r="D18" s="867">
        <f t="shared" ref="D18" si="25">SUM(D14:D17)</f>
        <v>751956552.99738514</v>
      </c>
      <c r="E18" s="867">
        <f t="shared" ref="E18" si="26">SUM(E14:E17)</f>
        <v>758914830.45392454</v>
      </c>
      <c r="F18" s="867">
        <f t="shared" ref="F18" si="27">SUM(F14:F17)</f>
        <v>765955063.5393492</v>
      </c>
      <c r="G18" s="867">
        <f t="shared" ref="G18" si="28">SUM(G14:G17)</f>
        <v>773078400.53666317</v>
      </c>
      <c r="H18" s="867">
        <f t="shared" ref="H18" si="29">SUM(H14:H17)</f>
        <v>780286008.59954607</v>
      </c>
      <c r="I18" s="867">
        <f t="shared" ref="I18" si="30">SUM(I14:I17)</f>
        <v>787579074.10750282</v>
      </c>
      <c r="J18" s="867">
        <f t="shared" ref="J18" si="31">SUM(J14:J17)</f>
        <v>794958803.0283581</v>
      </c>
      <c r="K18" s="867">
        <f t="shared" ref="K18" si="32">SUM(K14:K17)</f>
        <v>802426421.28825283</v>
      </c>
      <c r="L18" s="867">
        <f t="shared" ref="L18" si="33">SUM(L14:L17)</f>
        <v>809983175.14931166</v>
      </c>
      <c r="M18" s="867">
        <f t="shared" ref="M18" si="34">SUM(M14:M17)</f>
        <v>817630331.59514129</v>
      </c>
      <c r="N18" s="867">
        <f t="shared" ref="N18" si="35">SUM(N14:N17)</f>
        <v>825369178.72433901</v>
      </c>
      <c r="O18" s="867">
        <f t="shared" ref="O18" si="36">SUM(O14:O17)</f>
        <v>833201026.15218019</v>
      </c>
      <c r="P18" s="867">
        <f t="shared" ref="P18" si="37">SUM(P14:P17)</f>
        <v>841127205.42067051</v>
      </c>
      <c r="Q18" s="867">
        <f t="shared" ref="Q18" si="38">SUM(Q14:Q17)</f>
        <v>849149070.41713893</v>
      </c>
      <c r="R18" s="867">
        <f t="shared" ref="R18" si="39">SUM(R14:R17)</f>
        <v>857267997.80156493</v>
      </c>
      <c r="S18" s="867">
        <f t="shared" ref="S18" si="40">SUM(S14:S17)</f>
        <v>865485387.44282854</v>
      </c>
      <c r="T18" s="867">
        <f t="shared" ref="T18:W18" si="41">SUM(T14:T17)</f>
        <v>873802662.86407924</v>
      </c>
      <c r="U18" s="867">
        <f t="shared" si="41"/>
        <v>882221271.69742501</v>
      </c>
      <c r="V18" s="867">
        <f t="shared" si="41"/>
        <v>890742686.14814639</v>
      </c>
      <c r="W18" s="867">
        <f t="shared" si="41"/>
        <v>899368403.46864343</v>
      </c>
      <c r="X18" s="870">
        <f>X16+X17</f>
        <v>873802662.86407924</v>
      </c>
      <c r="Y18" s="574" t="s">
        <v>5</v>
      </c>
      <c r="Z18" s="870">
        <f>SUM(C18:W18)</f>
        <v>17205582652.841888</v>
      </c>
    </row>
    <row r="19" spans="1:26" ht="15" x14ac:dyDescent="0.25">
      <c r="B19" s="864"/>
      <c r="C19" s="867"/>
      <c r="D19" s="867"/>
      <c r="Z19" s="870">
        <f>Z18-Z10</f>
        <v>2405450039.3384876</v>
      </c>
    </row>
    <row r="20" spans="1:26" ht="21" x14ac:dyDescent="0.35">
      <c r="A20" s="865">
        <v>3</v>
      </c>
      <c r="B20" s="865" t="s">
        <v>660</v>
      </c>
      <c r="C20" s="867"/>
      <c r="D20" s="867"/>
    </row>
    <row r="21" spans="1:26" ht="15.75" x14ac:dyDescent="0.25">
      <c r="B21" s="862" t="s">
        <v>0</v>
      </c>
      <c r="C21" s="869">
        <f>2023</f>
        <v>2023</v>
      </c>
      <c r="D21" s="869">
        <f>C21+1</f>
        <v>2024</v>
      </c>
      <c r="E21" s="869">
        <f t="shared" ref="E21" si="42">D21+1</f>
        <v>2025</v>
      </c>
      <c r="F21" s="869">
        <f t="shared" ref="F21" si="43">E21+1</f>
        <v>2026</v>
      </c>
      <c r="G21" s="869">
        <f t="shared" ref="G21" si="44">F21+1</f>
        <v>2027</v>
      </c>
      <c r="H21" s="869">
        <f t="shared" ref="H21" si="45">G21+1</f>
        <v>2028</v>
      </c>
      <c r="I21" s="869">
        <f t="shared" ref="I21" si="46">H21+1</f>
        <v>2029</v>
      </c>
      <c r="J21" s="869">
        <f t="shared" ref="J21" si="47">I21+1</f>
        <v>2030</v>
      </c>
      <c r="K21" s="869">
        <f t="shared" ref="K21" si="48">J21+1</f>
        <v>2031</v>
      </c>
      <c r="L21" s="869">
        <f t="shared" ref="L21" si="49">K21+1</f>
        <v>2032</v>
      </c>
      <c r="M21" s="869">
        <f t="shared" ref="M21" si="50">L21+1</f>
        <v>2033</v>
      </c>
      <c r="N21" s="869">
        <f t="shared" ref="N21" si="51">M21+1</f>
        <v>2034</v>
      </c>
      <c r="O21" s="869">
        <f t="shared" ref="O21" si="52">N21+1</f>
        <v>2035</v>
      </c>
      <c r="P21" s="869">
        <f t="shared" ref="P21" si="53">O21+1</f>
        <v>2036</v>
      </c>
      <c r="Q21" s="869">
        <f t="shared" ref="Q21" si="54">P21+1</f>
        <v>2037</v>
      </c>
      <c r="R21" s="869">
        <f t="shared" ref="R21" si="55">Q21+1</f>
        <v>2038</v>
      </c>
      <c r="S21" s="869">
        <f t="shared" ref="S21" si="56">R21+1</f>
        <v>2039</v>
      </c>
      <c r="T21" s="869">
        <f t="shared" ref="T21" si="57">S21+1</f>
        <v>2040</v>
      </c>
      <c r="U21" s="869">
        <f t="shared" ref="U21" si="58">T21+1</f>
        <v>2041</v>
      </c>
      <c r="V21" s="869">
        <f t="shared" ref="V21" si="59">U21+1</f>
        <v>2042</v>
      </c>
      <c r="W21" s="869">
        <f t="shared" ref="W21" si="60">V21+1</f>
        <v>2043</v>
      </c>
    </row>
    <row r="22" spans="1:26" ht="15" x14ac:dyDescent="0.25">
      <c r="B22" s="1397" t="s">
        <v>573</v>
      </c>
      <c r="C22" s="867">
        <f>VMT.VHT.ADT.Trip.Types!AQ20</f>
        <v>379448813.98219019</v>
      </c>
      <c r="D22" s="867">
        <f>VMT.VHT.ADT.Trip.Types!AR20</f>
        <v>383417061.16706127</v>
      </c>
      <c r="E22" s="867">
        <f>VMT.VHT.ADT.Trip.Types!AS20</f>
        <v>387426807.98281795</v>
      </c>
      <c r="F22" s="867">
        <f>VMT.VHT.ADT.Trip.Types!AT20</f>
        <v>391478488.42948186</v>
      </c>
      <c r="G22" s="867">
        <f>VMT.VHT.ADT.Trip.Types!AU20</f>
        <v>395572541.04581386</v>
      </c>
      <c r="H22" s="867">
        <f>VMT.VHT.ADT.Trip.Types!AV20</f>
        <v>399709408.95678085</v>
      </c>
      <c r="I22" s="867">
        <f>VMT.VHT.ADT.Trip.Types!AW20</f>
        <v>403889539.9215166</v>
      </c>
      <c r="J22" s="867">
        <f>VMT.VHT.ADT.Trip.Types!AX20</f>
        <v>408113386.38178694</v>
      </c>
      <c r="K22" s="867">
        <f>VMT.VHT.ADT.Trip.Types!AY20</f>
        <v>412381405.51095927</v>
      </c>
      <c r="L22" s="867">
        <f>VMT.VHT.ADT.Trip.Types!AZ20</f>
        <v>416694059.26348585</v>
      </c>
      <c r="M22" s="867">
        <f>VMT.VHT.ADT.Trip.Types!BA20</f>
        <v>421051814.42490387</v>
      </c>
      <c r="N22" s="867">
        <f>VMT.VHT.ADT.Trip.Types!BB20</f>
        <v>425455142.66235864</v>
      </c>
      <c r="O22" s="867">
        <f>VMT.VHT.ADT.Trip.Types!BC20</f>
        <v>429904520.57565498</v>
      </c>
      <c r="P22" s="867">
        <f>VMT.VHT.ADT.Trip.Types!BD20</f>
        <v>434400429.74884272</v>
      </c>
      <c r="Q22" s="867">
        <f>VMT.VHT.ADT.Trip.Types!BE20</f>
        <v>438943356.80234122</v>
      </c>
      <c r="R22" s="867">
        <f>VMT.VHT.ADT.Trip.Types!BF20</f>
        <v>443533793.44561011</v>
      </c>
      <c r="S22" s="867">
        <f>VMT.VHT.ADT.Trip.Types!BG20</f>
        <v>448172236.53036928</v>
      </c>
      <c r="T22" s="867">
        <f>VMT.VHT.ADT.Trip.Types!BH20</f>
        <v>452859188.10437661</v>
      </c>
      <c r="U22" s="867">
        <f>VMT.VHT.ADT.Trip.Types!BI20</f>
        <v>457595155.46576762</v>
      </c>
      <c r="V22" s="867">
        <f>VMT.VHT.ADT.Trip.Types!BJ20</f>
        <v>462380651.21796399</v>
      </c>
      <c r="W22" s="867">
        <f>VMT.VHT.ADT.Trip.Types!BK20</f>
        <v>467216193.32515496</v>
      </c>
    </row>
    <row r="23" spans="1:26" ht="15" x14ac:dyDescent="0.25">
      <c r="B23" s="1397" t="s">
        <v>574</v>
      </c>
      <c r="C23" s="867">
        <f>VMT.VHT.ADT.Trip.Types!AQ21</f>
        <v>205981376.3284108</v>
      </c>
      <c r="D23" s="867">
        <f>VMT.VHT.ADT.Trip.Types!AR21</f>
        <v>206544196.519658</v>
      </c>
      <c r="E23" s="867">
        <f>VMT.VHT.ADT.Trip.Types!AS21</f>
        <v>207108554.55172035</v>
      </c>
      <c r="F23" s="867">
        <f>VMT.VHT.ADT.Trip.Types!AT21</f>
        <v>207674454.62656927</v>
      </c>
      <c r="G23" s="867">
        <f>VMT.VHT.ADT.Trip.Types!AU21</f>
        <v>208241900.95765764</v>
      </c>
      <c r="H23" s="867">
        <f>VMT.VHT.ADT.Trip.Types!AV21</f>
        <v>208810897.76995102</v>
      </c>
      <c r="I23" s="867">
        <f>VMT.VHT.ADT.Trip.Types!AW21</f>
        <v>209381449.2999593</v>
      </c>
      <c r="J23" s="867">
        <f>VMT.VHT.ADT.Trip.Types!AX21</f>
        <v>209953559.79576808</v>
      </c>
      <c r="K23" s="867">
        <f>VMT.VHT.ADT.Trip.Types!AY21</f>
        <v>210527233.51707035</v>
      </c>
      <c r="L23" s="867">
        <f>VMT.VHT.ADT.Trip.Types!AZ21</f>
        <v>211102474.73519826</v>
      </c>
      <c r="M23" s="867">
        <f>VMT.VHT.ADT.Trip.Types!BA21</f>
        <v>211679287.73315492</v>
      </c>
      <c r="N23" s="867">
        <f>VMT.VHT.ADT.Trip.Types!BB21</f>
        <v>212257676.80564606</v>
      </c>
      <c r="O23" s="867">
        <f>VMT.VHT.ADT.Trip.Types!BC21</f>
        <v>212837646.25911251</v>
      </c>
      <c r="P23" s="867">
        <f>VMT.VHT.ADT.Trip.Types!BD21</f>
        <v>213419200.41176152</v>
      </c>
      <c r="Q23" s="867">
        <f>VMT.VHT.ADT.Trip.Types!BE21</f>
        <v>214002343.59359983</v>
      </c>
      <c r="R23" s="867">
        <f>VMT.VHT.ADT.Trip.Types!BF21</f>
        <v>214587080.14646497</v>
      </c>
      <c r="S23" s="867">
        <f>VMT.VHT.ADT.Trip.Types!BG21</f>
        <v>215173414.42405835</v>
      </c>
      <c r="T23" s="867">
        <f>VMT.VHT.ADT.Trip.Types!BH21</f>
        <v>215761350.79197726</v>
      </c>
      <c r="U23" s="867">
        <f>VMT.VHT.ADT.Trip.Types!BI21</f>
        <v>216350893.62774748</v>
      </c>
      <c r="V23" s="867">
        <f>VMT.VHT.ADT.Trip.Types!BJ21</f>
        <v>216942047.32085577</v>
      </c>
      <c r="W23" s="867">
        <f>VMT.VHT.ADT.Trip.Types!BK21</f>
        <v>217534816.27278283</v>
      </c>
    </row>
    <row r="24" spans="1:26" ht="15" x14ac:dyDescent="0.25">
      <c r="B24" s="1397" t="s">
        <v>575</v>
      </c>
      <c r="C24" s="867">
        <f>VMT.VHT.ADT.Trip.Types!AQ22</f>
        <v>124894315.15420036</v>
      </c>
      <c r="D24" s="867">
        <f>VMT.VHT.ADT.Trip.Types!AR22</f>
        <v>126188184.48332641</v>
      </c>
      <c r="E24" s="867">
        <f>VMT.VHT.ADT.Trip.Types!AS22</f>
        <v>127495457.9280744</v>
      </c>
      <c r="F24" s="867">
        <f>VMT.VHT.ADT.Trip.Types!AT22</f>
        <v>128816274.35124263</v>
      </c>
      <c r="G24" s="867">
        <f>VMT.VHT.ADT.Trip.Types!AU22</f>
        <v>130150774.05420808</v>
      </c>
      <c r="H24" s="867">
        <f>VMT.VHT.ADT.Trip.Types!AV22</f>
        <v>131499098.79182999</v>
      </c>
      <c r="I24" s="867">
        <f>VMT.VHT.ADT.Trip.Types!AW22</f>
        <v>132861391.78750716</v>
      </c>
      <c r="J24" s="867">
        <f>VMT.VHT.ADT.Trip.Types!AX22</f>
        <v>134237797.74839184</v>
      </c>
      <c r="K24" s="867">
        <f>VMT.VHT.ADT.Trip.Types!AY22</f>
        <v>135628462.88076097</v>
      </c>
      <c r="L24" s="867">
        <f>VMT.VHT.ADT.Trip.Types!AZ22</f>
        <v>137033534.90554661</v>
      </c>
      <c r="M24" s="867">
        <f>VMT.VHT.ADT.Trip.Types!BA22</f>
        <v>138453163.0740273</v>
      </c>
      <c r="N24" s="867">
        <f>VMT.VHT.ADT.Trip.Types!BB22</f>
        <v>139887498.18368214</v>
      </c>
      <c r="O24" s="867">
        <f>VMT.VHT.ADT.Trip.Types!BC22</f>
        <v>141336692.59420896</v>
      </c>
      <c r="P24" s="867">
        <f>VMT.VHT.ADT.Trip.Types!BD22</f>
        <v>142800900.24370831</v>
      </c>
      <c r="Q24" s="867">
        <f>VMT.VHT.ADT.Trip.Types!BE22</f>
        <v>144280276.66503546</v>
      </c>
      <c r="R24" s="867">
        <f>VMT.VHT.ADT.Trip.Types!BF22</f>
        <v>145774979.00232136</v>
      </c>
      <c r="S24" s="867">
        <f>VMT.VHT.ADT.Trip.Types!BG22</f>
        <v>147285166.02766532</v>
      </c>
      <c r="T24" s="867">
        <f>VMT.VHT.ADT.Trip.Types!BH22</f>
        <v>148810998.15800005</v>
      </c>
      <c r="U24" s="867">
        <f>VMT.VHT.ADT.Trip.Types!BI22</f>
        <v>150352637.47213176</v>
      </c>
      <c r="V24" s="867">
        <f>VMT.VHT.ADT.Trip.Types!BJ22</f>
        <v>151910247.72795659</v>
      </c>
      <c r="W24" s="867">
        <f>VMT.VHT.ADT.Trip.Types!BK22</f>
        <v>153483994.37985557</v>
      </c>
      <c r="X24" s="870">
        <f>SUM(T22:T24)</f>
        <v>817431537.05435395</v>
      </c>
      <c r="Y24" s="574" t="s">
        <v>385</v>
      </c>
    </row>
    <row r="25" spans="1:26" ht="15" x14ac:dyDescent="0.25">
      <c r="B25" s="1397" t="s">
        <v>140</v>
      </c>
      <c r="C25" s="867">
        <f>VMT.VHT.ADT.Trip.Types!AQ23</f>
        <v>43316911.764705881</v>
      </c>
      <c r="D25" s="867">
        <f>VMT.VHT.ADT.Trip.Types!AR23</f>
        <v>44290358.775713623</v>
      </c>
      <c r="E25" s="867">
        <f>VMT.VHT.ADT.Trip.Types!AS23</f>
        <v>45285681.747971497</v>
      </c>
      <c r="F25" s="867">
        <f>VMT.VHT.ADT.Trip.Types!AT23</f>
        <v>46303372.292913094</v>
      </c>
      <c r="G25" s="867">
        <f>VMT.VHT.ADT.Trip.Types!AU23</f>
        <v>47343933.069797494</v>
      </c>
      <c r="H25" s="867">
        <f>VMT.VHT.ADT.Trip.Types!AV23</f>
        <v>48407878.033983424</v>
      </c>
      <c r="I25" s="867">
        <f>VMT.VHT.ADT.Trip.Types!AW23</f>
        <v>49495732.690782927</v>
      </c>
      <c r="J25" s="867">
        <f>VMT.VHT.ADT.Trip.Types!AX23</f>
        <v>50608034.355019726</v>
      </c>
      <c r="K25" s="867">
        <f>VMT.VHT.ADT.Trip.Types!AY23</f>
        <v>51745332.416420579</v>
      </c>
      <c r="L25" s="867">
        <f>VMT.VHT.ADT.Trip.Types!AZ23</f>
        <v>52908188.610970639</v>
      </c>
      <c r="M25" s="867">
        <f>VMT.VHT.ADT.Trip.Types!BA23</f>
        <v>54097177.298367038</v>
      </c>
      <c r="N25" s="867">
        <f>VMT.VHT.ADT.Trip.Types!BB23</f>
        <v>55312885.74570743</v>
      </c>
      <c r="O25" s="867">
        <f>VMT.VHT.ADT.Trip.Types!BC23</f>
        <v>56555914.417553887</v>
      </c>
      <c r="P25" s="867">
        <f>VMT.VHT.ADT.Trip.Types!BD23</f>
        <v>57826877.272515193</v>
      </c>
      <c r="Q25" s="867">
        <f>VMT.VHT.ADT.Trip.Types!BE23</f>
        <v>59126402.066494316</v>
      </c>
      <c r="R25" s="867">
        <f>VMT.VHT.ADT.Trip.Types!BF23</f>
        <v>60455130.662750512</v>
      </c>
      <c r="S25" s="867">
        <f>VMT.VHT.ADT.Trip.Types!BG23</f>
        <v>61813719.348929383</v>
      </c>
      <c r="T25" s="867">
        <f>VMT.VHT.ADT.Trip.Types!BH23</f>
        <v>63202839.161217436</v>
      </c>
      <c r="U25" s="867">
        <f>VMT.VHT.ADT.Trip.Types!BI23</f>
        <v>64623176.21578142</v>
      </c>
      <c r="V25" s="867">
        <f>VMT.VHT.ADT.Trip.Types!BJ23</f>
        <v>66075432.047655731</v>
      </c>
      <c r="W25" s="867">
        <f>VMT.VHT.ADT.Trip.Types!BK23</f>
        <v>67560323.957245752</v>
      </c>
      <c r="X25" s="870">
        <f>T25</f>
        <v>63202839.161217436</v>
      </c>
      <c r="Y25" s="574" t="s">
        <v>140</v>
      </c>
    </row>
    <row r="26" spans="1:26" ht="15" x14ac:dyDescent="0.25">
      <c r="B26" s="1396" t="s">
        <v>5</v>
      </c>
      <c r="C26" s="867">
        <f>SUM(C22:C25)</f>
        <v>753641417.22950721</v>
      </c>
      <c r="D26" s="867">
        <f t="shared" ref="D26" si="61">SUM(D22:D25)</f>
        <v>760439800.9457593</v>
      </c>
      <c r="E26" s="867">
        <f t="shared" ref="E26" si="62">SUM(E22:E25)</f>
        <v>767316502.21058416</v>
      </c>
      <c r="F26" s="867">
        <f t="shared" ref="F26" si="63">SUM(F22:F25)</f>
        <v>774272589.70020688</v>
      </c>
      <c r="G26" s="867">
        <f t="shared" ref="G26" si="64">SUM(G22:G25)</f>
        <v>781309149.12747705</v>
      </c>
      <c r="H26" s="867">
        <f t="shared" ref="H26" si="65">SUM(H22:H25)</f>
        <v>788427283.55254531</v>
      </c>
      <c r="I26" s="867">
        <f t="shared" ref="I26" si="66">SUM(I22:I25)</f>
        <v>795628113.69976592</v>
      </c>
      <c r="J26" s="867">
        <f t="shared" ref="J26" si="67">SUM(J22:J25)</f>
        <v>802912778.28096664</v>
      </c>
      <c r="K26" s="867">
        <f t="shared" ref="K26" si="68">SUM(K22:K25)</f>
        <v>810282434.32521117</v>
      </c>
      <c r="L26" s="867">
        <f t="shared" ref="L26" si="69">SUM(L22:L25)</f>
        <v>817738257.51520145</v>
      </c>
      <c r="M26" s="867">
        <f t="shared" ref="M26" si="70">SUM(M22:M25)</f>
        <v>825281442.53045309</v>
      </c>
      <c r="N26" s="867">
        <f t="shared" ref="N26" si="71">SUM(N22:N25)</f>
        <v>832913203.3973943</v>
      </c>
      <c r="O26" s="867">
        <f t="shared" ref="O26" si="72">SUM(O22:O25)</f>
        <v>840634773.84653032</v>
      </c>
      <c r="P26" s="867">
        <f t="shared" ref="P26" si="73">SUM(P22:P25)</f>
        <v>848447407.67682779</v>
      </c>
      <c r="Q26" s="867">
        <f t="shared" ref="Q26" si="74">SUM(Q22:Q25)</f>
        <v>856352379.12747085</v>
      </c>
      <c r="R26" s="867">
        <f t="shared" ref="R26" si="75">SUM(R22:R25)</f>
        <v>864350983.25714695</v>
      </c>
      <c r="S26" s="867">
        <f t="shared" ref="S26" si="76">SUM(S22:S25)</f>
        <v>872444536.33102226</v>
      </c>
      <c r="T26" s="867">
        <f t="shared" ref="T26:W26" si="77">SUM(T22:T25)</f>
        <v>880634376.2155714</v>
      </c>
      <c r="U26" s="867">
        <f t="shared" si="77"/>
        <v>888921862.78142834</v>
      </c>
      <c r="V26" s="867">
        <f t="shared" si="77"/>
        <v>897308378.31443202</v>
      </c>
      <c r="W26" s="867">
        <f t="shared" si="77"/>
        <v>905795327.93503916</v>
      </c>
      <c r="X26" s="870">
        <f>X24+X25</f>
        <v>880634376.2155714</v>
      </c>
      <c r="Y26" s="574" t="s">
        <v>5</v>
      </c>
      <c r="Z26" s="870">
        <f>SUM(C26:W26)</f>
        <v>17365052998.000542</v>
      </c>
    </row>
    <row r="27" spans="1:26" ht="15" x14ac:dyDescent="0.25">
      <c r="B27" s="864"/>
      <c r="C27" s="867"/>
      <c r="D27" s="867"/>
      <c r="Z27" s="870">
        <f>Z26-Z10</f>
        <v>2564920384.4971409</v>
      </c>
    </row>
    <row r="28" spans="1:26" s="574" customFormat="1" ht="26.25" x14ac:dyDescent="0.4">
      <c r="C28" s="1918" t="s">
        <v>637</v>
      </c>
      <c r="D28" s="1918"/>
      <c r="E28" s="1918"/>
      <c r="F28" s="1918"/>
      <c r="G28" s="1918"/>
      <c r="H28" s="1918"/>
      <c r="I28" s="1918"/>
      <c r="J28" s="1918"/>
      <c r="K28" s="1918"/>
      <c r="L28" s="1918"/>
      <c r="M28" s="1918"/>
      <c r="N28" s="1918"/>
      <c r="O28" s="1918"/>
      <c r="P28" s="1918"/>
      <c r="Q28" s="1918"/>
      <c r="R28" s="1918"/>
      <c r="S28" s="1918"/>
      <c r="T28" s="1918"/>
      <c r="U28" s="1404"/>
      <c r="V28" s="1404"/>
      <c r="W28" s="1404"/>
      <c r="Z28" s="870" t="e">
        <f>#REF!-Z10</f>
        <v>#REF!</v>
      </c>
    </row>
    <row r="29" spans="1:26" s="574" customFormat="1" ht="15" x14ac:dyDescent="0.25">
      <c r="C29" s="866"/>
      <c r="D29" s="866"/>
      <c r="E29" s="866"/>
      <c r="F29" s="866"/>
      <c r="G29" s="866"/>
      <c r="H29" s="866"/>
      <c r="I29" s="866"/>
      <c r="J29" s="866"/>
      <c r="K29" s="866"/>
      <c r="L29" s="866"/>
      <c r="M29" s="866"/>
      <c r="N29" s="866"/>
      <c r="O29" s="866"/>
      <c r="P29" s="866"/>
      <c r="Q29" s="866"/>
      <c r="R29" s="866"/>
      <c r="S29" s="866"/>
      <c r="T29" s="866"/>
      <c r="U29" s="866"/>
      <c r="V29" s="866"/>
      <c r="W29" s="866"/>
    </row>
    <row r="30" spans="1:26" ht="21" x14ac:dyDescent="0.35">
      <c r="A30" s="865">
        <v>1</v>
      </c>
      <c r="B30" s="861" t="s">
        <v>502</v>
      </c>
      <c r="C30" s="868"/>
    </row>
    <row r="31" spans="1:26" ht="15.75" x14ac:dyDescent="0.25">
      <c r="B31" s="862" t="s">
        <v>0</v>
      </c>
      <c r="C31" s="869">
        <f>2023</f>
        <v>2023</v>
      </c>
      <c r="D31" s="869">
        <f>C31+1</f>
        <v>2024</v>
      </c>
      <c r="E31" s="869">
        <f t="shared" ref="E31" si="78">D31+1</f>
        <v>2025</v>
      </c>
      <c r="F31" s="869">
        <f t="shared" ref="F31" si="79">E31+1</f>
        <v>2026</v>
      </c>
      <c r="G31" s="869">
        <f t="shared" ref="G31" si="80">F31+1</f>
        <v>2027</v>
      </c>
      <c r="H31" s="869">
        <f t="shared" ref="H31" si="81">G31+1</f>
        <v>2028</v>
      </c>
      <c r="I31" s="869">
        <f t="shared" ref="I31" si="82">H31+1</f>
        <v>2029</v>
      </c>
      <c r="J31" s="869">
        <f t="shared" ref="J31" si="83">I31+1</f>
        <v>2030</v>
      </c>
      <c r="K31" s="869">
        <f t="shared" ref="K31" si="84">J31+1</f>
        <v>2031</v>
      </c>
      <c r="L31" s="869">
        <f t="shared" ref="L31" si="85">K31+1</f>
        <v>2032</v>
      </c>
      <c r="M31" s="869">
        <f t="shared" ref="M31" si="86">L31+1</f>
        <v>2033</v>
      </c>
      <c r="N31" s="869">
        <f t="shared" ref="N31" si="87">M31+1</f>
        <v>2034</v>
      </c>
      <c r="O31" s="869">
        <f t="shared" ref="O31" si="88">N31+1</f>
        <v>2035</v>
      </c>
      <c r="P31" s="869">
        <f t="shared" ref="P31" si="89">O31+1</f>
        <v>2036</v>
      </c>
      <c r="Q31" s="869">
        <f t="shared" ref="Q31" si="90">P31+1</f>
        <v>2037</v>
      </c>
      <c r="R31" s="869">
        <f t="shared" ref="R31" si="91">Q31+1</f>
        <v>2038</v>
      </c>
      <c r="S31" s="869">
        <f t="shared" ref="S31" si="92">R31+1</f>
        <v>2039</v>
      </c>
      <c r="T31" s="869">
        <f t="shared" ref="T31" si="93">S31+1</f>
        <v>2040</v>
      </c>
      <c r="U31" s="869">
        <f t="shared" ref="U31" si="94">T31+1</f>
        <v>2041</v>
      </c>
      <c r="V31" s="869">
        <f t="shared" ref="V31" si="95">U31+1</f>
        <v>2042</v>
      </c>
      <c r="W31" s="869">
        <f t="shared" ref="W31" si="96">V31+1</f>
        <v>2043</v>
      </c>
    </row>
    <row r="32" spans="1:26" ht="15" x14ac:dyDescent="0.25">
      <c r="B32" s="1397" t="s">
        <v>573</v>
      </c>
      <c r="C32" s="867">
        <f>VMT.VHT.ADT.Trip.Types!AQ41</f>
        <v>8454311.3437231276</v>
      </c>
      <c r="D32" s="867">
        <f>VMT.VHT.ADT.Trip.Types!AR41</f>
        <v>8797585.2005785722</v>
      </c>
      <c r="E32" s="867">
        <f>VMT.VHT.ADT.Trip.Types!AS41</f>
        <v>9154797.1460623574</v>
      </c>
      <c r="F32" s="867">
        <f>VMT.VHT.ADT.Trip.Types!AT41</f>
        <v>9526513.1140804105</v>
      </c>
      <c r="G32" s="867">
        <f>VMT.VHT.ADT.Trip.Types!AU41</f>
        <v>9913322.0173842013</v>
      </c>
      <c r="H32" s="867">
        <f>VMT.VHT.ADT.Trip.Types!AV41</f>
        <v>10315836.680590212</v>
      </c>
      <c r="I32" s="867">
        <f>VMT.VHT.ADT.Trip.Types!AW41</f>
        <v>10734694.811083145</v>
      </c>
      <c r="J32" s="867">
        <f>VMT.VHT.ADT.Trip.Types!AX41</f>
        <v>11170560.009341132</v>
      </c>
      <c r="K32" s="867">
        <f>VMT.VHT.ADT.Trip.Types!AY41</f>
        <v>11624122.820283584</v>
      </c>
      <c r="L32" s="867">
        <f>VMT.VHT.ADT.Trip.Types!AZ41</f>
        <v>12096101.827307342</v>
      </c>
      <c r="M32" s="867">
        <f>VMT.VHT.ADT.Trip.Types!BA41</f>
        <v>12587244.790744431</v>
      </c>
      <c r="N32" s="867">
        <f>VMT.VHT.ADT.Trip.Types!BB41</f>
        <v>13098329.832545079</v>
      </c>
      <c r="O32" s="867">
        <f>VMT.VHT.ADT.Trip.Types!BC41</f>
        <v>13630166.669062907</v>
      </c>
      <c r="P32" s="867">
        <f>VMT.VHT.ADT.Trip.Types!BD41</f>
        <v>14183597.893895378</v>
      </c>
      <c r="Q32" s="867">
        <f>VMT.VHT.ADT.Trip.Types!BE41</f>
        <v>14759500.312811982</v>
      </c>
      <c r="R32" s="867">
        <f>VMT.VHT.ADT.Trip.Types!BF41</f>
        <v>15358786.33288501</v>
      </c>
      <c r="S32" s="867">
        <f>VMT.VHT.ADT.Trip.Types!BG41</f>
        <v>15982405.408023814</v>
      </c>
      <c r="T32" s="867">
        <f>VMT.VHT.ADT.Trip.Types!BH41</f>
        <v>16631345.54320265</v>
      </c>
      <c r="U32" s="867">
        <f>VMT.VHT.ADT.Trip.Types!BI41</f>
        <v>17306634.859765317</v>
      </c>
      <c r="V32" s="867">
        <f>VMT.VHT.ADT.Trip.Types!BJ41</f>
        <v>18009343.224286493</v>
      </c>
      <c r="W32" s="867">
        <f>VMT.VHT.ADT.Trip.Types!BK41</f>
        <v>18740583.943570413</v>
      </c>
    </row>
    <row r="33" spans="1:26" ht="15" x14ac:dyDescent="0.25">
      <c r="B33" s="1397" t="s">
        <v>574</v>
      </c>
      <c r="C33" s="867">
        <f>VMT.VHT.ADT.Trip.Types!AQ42</f>
        <v>4583222.1375105102</v>
      </c>
      <c r="D33" s="867">
        <f>VMT.VHT.ADT.Trip.Types!AR42</f>
        <v>4733143.2525839452</v>
      </c>
      <c r="E33" s="867">
        <f>VMT.VHT.ADT.Trip.Types!AS42</f>
        <v>4887968.4155238168</v>
      </c>
      <c r="F33" s="867">
        <f>VMT.VHT.ADT.Trip.Types!AT42</f>
        <v>5047858.0419291193</v>
      </c>
      <c r="G33" s="867">
        <f>VMT.VHT.ADT.Trip.Types!AU42</f>
        <v>5212977.7947302526</v>
      </c>
      <c r="H33" s="867">
        <f>VMT.VHT.ADT.Trip.Types!AV42</f>
        <v>5383498.7558337282</v>
      </c>
      <c r="I33" s="867">
        <f>VMT.VHT.ADT.Trip.Types!AW42</f>
        <v>5559597.6033815024</v>
      </c>
      <c r="J33" s="867">
        <f>VMT.VHT.ADT.Trip.Types!AX42</f>
        <v>5741456.7948086252</v>
      </c>
      <c r="K33" s="867">
        <f>VMT.VHT.ADT.Trip.Types!AY42</f>
        <v>5929264.7558888635</v>
      </c>
      <c r="L33" s="867">
        <f>VMT.VHT.ADT.Trip.Types!AZ42</f>
        <v>6123216.0759641584</v>
      </c>
      <c r="M33" s="867">
        <f>VMT.VHT.ADT.Trip.Types!BA42</f>
        <v>6323511.7095602127</v>
      </c>
      <c r="N33" s="867">
        <f>VMT.VHT.ADT.Trip.Types!BB42</f>
        <v>6530359.1845970955</v>
      </c>
      <c r="O33" s="867">
        <f>VMT.VHT.ADT.Trip.Types!BC42</f>
        <v>6743972.8174105892</v>
      </c>
      <c r="P33" s="867">
        <f>VMT.VHT.ADT.Trip.Types!BD42</f>
        <v>6964573.9348070761</v>
      </c>
      <c r="Q33" s="867">
        <f>VMT.VHT.ADT.Trip.Types!BE42</f>
        <v>7192391.103382024</v>
      </c>
      <c r="R33" s="867">
        <f>VMT.VHT.ADT.Trip.Types!BF42</f>
        <v>7427660.3663396742</v>
      </c>
      <c r="S33" s="867">
        <f>VMT.VHT.ADT.Trip.Types!BG42</f>
        <v>7670625.4880593168</v>
      </c>
      <c r="T33" s="867">
        <f>VMT.VHT.ADT.Trip.Types!BH42</f>
        <v>7921538.2066615205</v>
      </c>
      <c r="U33" s="867">
        <f>VMT.VHT.ADT.Trip.Types!BI42</f>
        <v>8180658.4948360296</v>
      </c>
      <c r="V33" s="867">
        <f>VMT.VHT.ADT.Trip.Types!BJ42</f>
        <v>8448254.8292015679</v>
      </c>
      <c r="W33" s="867">
        <f>VMT.VHT.ADT.Trip.Types!BK42</f>
        <v>8724604.4684766121</v>
      </c>
    </row>
    <row r="34" spans="1:26" ht="15" x14ac:dyDescent="0.25">
      <c r="B34" s="1397" t="s">
        <v>575</v>
      </c>
      <c r="C34" s="867">
        <f>VMT.VHT.ADT.Trip.Types!AQ43</f>
        <v>2782560.6125391289</v>
      </c>
      <c r="D34" s="867">
        <f>VMT.VHT.ADT.Trip.Types!AR43</f>
        <v>2895256.4460825352</v>
      </c>
      <c r="E34" s="867">
        <f>VMT.VHT.ADT.Trip.Types!AS43</f>
        <v>3012516.5470998683</v>
      </c>
      <c r="F34" s="867">
        <f>VMT.VHT.ADT.Trip.Types!AT43</f>
        <v>3134525.7719156127</v>
      </c>
      <c r="G34" s="867">
        <f>VMT.VHT.ADT.Trip.Types!AU43</f>
        <v>3261476.4636768154</v>
      </c>
      <c r="H34" s="867">
        <f>VMT.VHT.ADT.Trip.Types!AV43</f>
        <v>3393568.755575126</v>
      </c>
      <c r="I34" s="867">
        <f>VMT.VHT.ADT.Trip.Types!AW43</f>
        <v>3531010.8863495621</v>
      </c>
      <c r="J34" s="867">
        <f>VMT.VHT.ADT.Trip.Types!AX43</f>
        <v>3674019.5285673812</v>
      </c>
      <c r="K34" s="867">
        <f>VMT.VHT.ADT.Trip.Types!AY43</f>
        <v>3822820.1302005765</v>
      </c>
      <c r="L34" s="867">
        <f>VMT.VHT.ADT.Trip.Types!AZ43</f>
        <v>3977647.2700364771</v>
      </c>
      <c r="M34" s="867">
        <f>VMT.VHT.ADT.Trip.Types!BA43</f>
        <v>4138745.027482762</v>
      </c>
      <c r="N34" s="867">
        <f>VMT.VHT.ADT.Trip.Types!BB43</f>
        <v>4306367.3673498463</v>
      </c>
      <c r="O34" s="867">
        <f>VMT.VHT.ADT.Trip.Types!BC43</f>
        <v>4480778.540217259</v>
      </c>
      <c r="P34" s="867">
        <f>VMT.VHT.ADT.Trip.Types!BD43</f>
        <v>4662253.4990151562</v>
      </c>
      <c r="Q34" s="867">
        <f>VMT.VHT.ADT.Trip.Types!BE43</f>
        <v>4851078.3324777139</v>
      </c>
      <c r="R34" s="867">
        <f>VMT.VHT.ADT.Trip.Types!BF43</f>
        <v>5047550.7161517069</v>
      </c>
      <c r="S34" s="867">
        <f>VMT.VHT.ADT.Trip.Types!BG43</f>
        <v>5251980.381671289</v>
      </c>
      <c r="T34" s="867">
        <f>VMT.VHT.ADT.Trip.Types!BH43</f>
        <v>5464689.6050387416</v>
      </c>
      <c r="U34" s="867">
        <f>VMT.VHT.ADT.Trip.Types!BI43</f>
        <v>5686013.7146809958</v>
      </c>
      <c r="V34" s="867">
        <f>VMT.VHT.ADT.Trip.Types!BJ43</f>
        <v>5916301.6200828049</v>
      </c>
      <c r="W34" s="867">
        <f>VMT.VHT.ADT.Trip.Types!BK43</f>
        <v>6155916.3618299849</v>
      </c>
    </row>
    <row r="35" spans="1:26" ht="15" x14ac:dyDescent="0.25">
      <c r="B35" s="1397" t="s">
        <v>140</v>
      </c>
      <c r="C35" s="867">
        <f>VMT.VHT.ADT.Trip.Types!AQ44</f>
        <v>1229752.7639351764</v>
      </c>
      <c r="D35" s="867">
        <f>VMT.VHT.ADT.Trip.Types!AR44</f>
        <v>1279081.0264611747</v>
      </c>
      <c r="E35" s="867">
        <f>VMT.VHT.ADT.Trip.Types!AS44</f>
        <v>1330387.9610871221</v>
      </c>
      <c r="F35" s="867">
        <f>VMT.VHT.ADT.Trip.Types!AT44</f>
        <v>1383752.936983523</v>
      </c>
      <c r="G35" s="867">
        <f>VMT.VHT.ADT.Trip.Types!AU44</f>
        <v>1439258.5070041344</v>
      </c>
      <c r="H35" s="867">
        <f>VMT.VHT.ADT.Trip.Types!AV44</f>
        <v>1496990.5353909545</v>
      </c>
      <c r="I35" s="867">
        <f>VMT.VHT.ADT.Trip.Types!AW44</f>
        <v>1557038.3306017588</v>
      </c>
      <c r="J35" s="867">
        <f>VMT.VHT.ADT.Trip.Types!AX44</f>
        <v>1619494.7834656565</v>
      </c>
      <c r="K35" s="867">
        <f>VMT.VHT.ADT.Trip.Types!AY44</f>
        <v>1684456.5108803955</v>
      </c>
      <c r="L35" s="867">
        <f>VMT.VHT.ADT.Trip.Types!AZ44</f>
        <v>1752024.0052736956</v>
      </c>
      <c r="M35" s="867">
        <f>VMT.VHT.ADT.Trip.Types!BA44</f>
        <v>1822301.7900598312</v>
      </c>
      <c r="N35" s="867">
        <f>VMT.VHT.ADT.Trip.Types!BB44</f>
        <v>1895398.5813319392</v>
      </c>
      <c r="O35" s="867">
        <f>VMT.VHT.ADT.Trip.Types!BC44</f>
        <v>1971427.4560401854</v>
      </c>
      <c r="P35" s="867">
        <f>VMT.VHT.ADT.Trip.Types!BD44</f>
        <v>2050506.0269159463</v>
      </c>
      <c r="Q35" s="867">
        <f>VMT.VHT.ADT.Trip.Types!BE44</f>
        <v>2132756.6244126181</v>
      </c>
      <c r="R35" s="867">
        <f>VMT.VHT.ADT.Trip.Types!BF44</f>
        <v>2218306.4859444867</v>
      </c>
      <c r="S35" s="867">
        <f>VMT.VHT.ADT.Trip.Types!BG44</f>
        <v>2307287.9527164232</v>
      </c>
      <c r="T35" s="867">
        <f>VMT.VHT.ADT.Trip.Types!BH44</f>
        <v>2399838.6744488673</v>
      </c>
      <c r="U35" s="867">
        <f>VMT.VHT.ADT.Trip.Types!BI44</f>
        <v>2496101.8223148207</v>
      </c>
      <c r="V35" s="867">
        <f>VMT.VHT.ADT.Trip.Types!BJ44</f>
        <v>2596226.3104182351</v>
      </c>
      <c r="W35" s="867">
        <f>VMT.VHT.ADT.Trip.Types!BK44</f>
        <v>2700367.0261564157</v>
      </c>
      <c r="Z35" s="870"/>
    </row>
    <row r="36" spans="1:26" ht="15" x14ac:dyDescent="0.25">
      <c r="B36" s="1396" t="s">
        <v>5</v>
      </c>
      <c r="C36" s="867"/>
      <c r="D36" s="867"/>
    </row>
    <row r="37" spans="1:26" ht="15" x14ac:dyDescent="0.25">
      <c r="B37" s="864"/>
      <c r="C37" s="867"/>
      <c r="D37" s="867"/>
    </row>
    <row r="38" spans="1:26" ht="21" x14ac:dyDescent="0.35">
      <c r="A38" s="865">
        <v>2</v>
      </c>
      <c r="B38" s="865" t="s">
        <v>639</v>
      </c>
      <c r="C38" s="867"/>
      <c r="D38" s="867"/>
    </row>
    <row r="39" spans="1:26" ht="15.75" x14ac:dyDescent="0.25">
      <c r="B39" s="862" t="s">
        <v>0</v>
      </c>
      <c r="C39" s="869">
        <f>2023</f>
        <v>2023</v>
      </c>
      <c r="D39" s="869">
        <f>C39+1</f>
        <v>2024</v>
      </c>
      <c r="E39" s="869">
        <f t="shared" ref="E39" si="97">D39+1</f>
        <v>2025</v>
      </c>
      <c r="F39" s="869">
        <f t="shared" ref="F39" si="98">E39+1</f>
        <v>2026</v>
      </c>
      <c r="G39" s="869">
        <f t="shared" ref="G39" si="99">F39+1</f>
        <v>2027</v>
      </c>
      <c r="H39" s="869">
        <f t="shared" ref="H39" si="100">G39+1</f>
        <v>2028</v>
      </c>
      <c r="I39" s="869">
        <f t="shared" ref="I39" si="101">H39+1</f>
        <v>2029</v>
      </c>
      <c r="J39" s="869">
        <f t="shared" ref="J39" si="102">I39+1</f>
        <v>2030</v>
      </c>
      <c r="K39" s="869">
        <f t="shared" ref="K39" si="103">J39+1</f>
        <v>2031</v>
      </c>
      <c r="L39" s="869">
        <f t="shared" ref="L39" si="104">K39+1</f>
        <v>2032</v>
      </c>
      <c r="M39" s="869">
        <f t="shared" ref="M39" si="105">L39+1</f>
        <v>2033</v>
      </c>
      <c r="N39" s="869">
        <f t="shared" ref="N39" si="106">M39+1</f>
        <v>2034</v>
      </c>
      <c r="O39" s="869">
        <f t="shared" ref="O39" si="107">N39+1</f>
        <v>2035</v>
      </c>
      <c r="P39" s="869">
        <f t="shared" ref="P39" si="108">O39+1</f>
        <v>2036</v>
      </c>
      <c r="Q39" s="869">
        <f t="shared" ref="Q39" si="109">P39+1</f>
        <v>2037</v>
      </c>
      <c r="R39" s="869">
        <f t="shared" ref="R39" si="110">Q39+1</f>
        <v>2038</v>
      </c>
      <c r="S39" s="869">
        <f t="shared" ref="S39" si="111">R39+1</f>
        <v>2039</v>
      </c>
      <c r="T39" s="869">
        <f t="shared" ref="T39" si="112">S39+1</f>
        <v>2040</v>
      </c>
      <c r="U39" s="869">
        <f t="shared" ref="U39" si="113">T39+1</f>
        <v>2041</v>
      </c>
      <c r="V39" s="869">
        <f t="shared" ref="V39" si="114">U39+1</f>
        <v>2042</v>
      </c>
      <c r="W39" s="869">
        <f t="shared" ref="W39" si="115">V39+1</f>
        <v>2043</v>
      </c>
    </row>
    <row r="40" spans="1:26" ht="15" x14ac:dyDescent="0.25">
      <c r="B40" s="1397" t="s">
        <v>573</v>
      </c>
      <c r="C40" s="867">
        <f>VMT.VHT.ADT.Trip.Types!AQ48</f>
        <v>7912174.4054239402</v>
      </c>
      <c r="D40" s="867">
        <f>VMT.VHT.ADT.Trip.Types!AR48</f>
        <v>8090849.3237316124</v>
      </c>
      <c r="E40" s="867">
        <f>VMT.VHT.ADT.Trip.Types!AS48</f>
        <v>8273559.128632579</v>
      </c>
      <c r="F40" s="867">
        <f>VMT.VHT.ADT.Trip.Types!AT48</f>
        <v>8460394.9370557014</v>
      </c>
      <c r="G40" s="867">
        <f>VMT.VHT.ADT.Trip.Types!AU48</f>
        <v>8651449.9235576168</v>
      </c>
      <c r="H40" s="867">
        <f>VMT.VHT.ADT.Trip.Types!AV48</f>
        <v>8846819.3667886574</v>
      </c>
      <c r="I40" s="867">
        <f>VMT.VHT.ADT.Trip.Types!AW48</f>
        <v>9046600.6970080845</v>
      </c>
      <c r="J40" s="867">
        <f>VMT.VHT.ADT.Trip.Types!AX48</f>
        <v>9250893.5446723085</v>
      </c>
      <c r="K40" s="867">
        <f>VMT.VHT.ADT.Trip.Types!AY48</f>
        <v>9459799.7901203614</v>
      </c>
      <c r="L40" s="867">
        <f>VMT.VHT.ADT.Trip.Types!AZ48</f>
        <v>9673423.6143813636</v>
      </c>
      <c r="M40" s="867">
        <f>VMT.VHT.ADT.Trip.Types!BA48</f>
        <v>9891871.5511293523</v>
      </c>
      <c r="N40" s="867">
        <f>VMT.VHT.ADT.Trip.Types!BB48</f>
        <v>10115252.539811356</v>
      </c>
      <c r="O40" s="867">
        <f>VMT.VHT.ADT.Trip.Types!BC48</f>
        <v>10343677.979975222</v>
      </c>
      <c r="P40" s="867">
        <f>VMT.VHT.ADT.Trip.Types!BD48</f>
        <v>10577261.786824321</v>
      </c>
      <c r="Q40" s="867">
        <f>VMT.VHT.ADT.Trip.Types!BE48</f>
        <v>10816120.448026752</v>
      </c>
      <c r="R40" s="867">
        <f>VMT.VHT.ADT.Trip.Types!BF48</f>
        <v>11060373.081807462</v>
      </c>
      <c r="S40" s="867">
        <f>VMT.VHT.ADT.Trip.Types!BG48</f>
        <v>11310141.496352218</v>
      </c>
      <c r="T40" s="867">
        <f>VMT.VHT.ADT.Trip.Types!BH48</f>
        <v>11565550.250553038</v>
      </c>
      <c r="U40" s="867">
        <f>VMT.VHT.ADT.Trip.Types!BI48</f>
        <v>11826726.716125414</v>
      </c>
      <c r="V40" s="867">
        <f>VMT.VHT.ADT.Trip.Types!BJ48</f>
        <v>12093801.141128264</v>
      </c>
      <c r="W40" s="867">
        <f>VMT.VHT.ADT.Trip.Types!BK48</f>
        <v>12366906.714918323</v>
      </c>
    </row>
    <row r="41" spans="1:26" ht="15" x14ac:dyDescent="0.25">
      <c r="B41" s="1397" t="s">
        <v>574</v>
      </c>
      <c r="C41" s="867">
        <f>VMT.VHT.ADT.Trip.Types!AQ49</f>
        <v>4292813.8109059492</v>
      </c>
      <c r="D41" s="867">
        <f>VMT.VHT.ADT.Trip.Types!AR49</f>
        <v>4356293.5202935077</v>
      </c>
      <c r="E41" s="867">
        <f>VMT.VHT.ADT.Trip.Types!AS49</f>
        <v>4420711.9318194399</v>
      </c>
      <c r="F41" s="867">
        <f>VMT.VHT.ADT.Trip.Types!AT49</f>
        <v>4486082.9264815142</v>
      </c>
      <c r="G41" s="867">
        <f>VMT.VHT.ADT.Trip.Types!AU49</f>
        <v>4552420.5905418703</v>
      </c>
      <c r="H41" s="867">
        <f>VMT.VHT.ADT.Trip.Types!AV49</f>
        <v>4619739.2185623469</v>
      </c>
      <c r="I41" s="867">
        <f>VMT.VHT.ADT.Trip.Types!AW49</f>
        <v>4688053.3164846972</v>
      </c>
      <c r="J41" s="867">
        <f>VMT.VHT.ADT.Trip.Types!AX49</f>
        <v>4757377.6047563637</v>
      </c>
      <c r="K41" s="867">
        <f>VMT.VHT.ADT.Trip.Types!AY49</f>
        <v>4827727.0215024585</v>
      </c>
      <c r="L41" s="867">
        <f>VMT.VHT.ADT.Trip.Types!AZ49</f>
        <v>4899116.7257446675</v>
      </c>
      <c r="M41" s="867">
        <f>VMT.VHT.ADT.Trip.Types!BA49</f>
        <v>4971562.1006677346</v>
      </c>
      <c r="N41" s="867">
        <f>VMT.VHT.ADT.Trip.Types!BB49</f>
        <v>5045078.7569342656</v>
      </c>
      <c r="O41" s="867">
        <f>VMT.VHT.ADT.Trip.Types!BC49</f>
        <v>5119682.5360485408</v>
      </c>
      <c r="P41" s="867">
        <f>VMT.VHT.ADT.Trip.Types!BD49</f>
        <v>5195389.5137700681</v>
      </c>
      <c r="Q41" s="867">
        <f>VMT.VHT.ADT.Trip.Types!BE49</f>
        <v>5272216.0035776235</v>
      </c>
      <c r="R41" s="867">
        <f>VMT.VHT.ADT.Trip.Types!BF49</f>
        <v>5350178.560184503</v>
      </c>
      <c r="S41" s="867">
        <f>VMT.VHT.ADT.Trip.Types!BG49</f>
        <v>5429293.9831057657</v>
      </c>
      <c r="T41" s="867">
        <f>VMT.VHT.ADT.Trip.Types!BH49</f>
        <v>5509579.3202782255</v>
      </c>
      <c r="U41" s="867">
        <f>VMT.VHT.ADT.Trip.Types!BI49</f>
        <v>5591051.8717339709</v>
      </c>
      <c r="V41" s="867">
        <f>VMT.VHT.ADT.Trip.Types!BJ49</f>
        <v>5673729.1933282055</v>
      </c>
      <c r="W41" s="867">
        <f>VMT.VHT.ADT.Trip.Types!BK49</f>
        <v>5757629.1005222183</v>
      </c>
    </row>
    <row r="42" spans="1:26" ht="15" x14ac:dyDescent="0.25">
      <c r="B42" s="1397" t="s">
        <v>575</v>
      </c>
      <c r="C42" s="867">
        <f>VMT.VHT.ADT.Trip.Types!AQ50</f>
        <v>2604204.4949923167</v>
      </c>
      <c r="D42" s="867">
        <f>VMT.VHT.ADT.Trip.Types!AR50</f>
        <v>2662752.4562939131</v>
      </c>
      <c r="E42" s="867">
        <f>VMT.VHT.ADT.Trip.Types!AS50</f>
        <v>2722616.6981637846</v>
      </c>
      <c r="F42" s="867">
        <f>VMT.VHT.ADT.Trip.Types!AT50</f>
        <v>2783826.8133408739</v>
      </c>
      <c r="G42" s="867">
        <f>VMT.VHT.ADT.Trip.Types!AU50</f>
        <v>2846413.0598707604</v>
      </c>
      <c r="H42" s="867">
        <f>VMT.VHT.ADT.Trip.Types!AV50</f>
        <v>2910406.3760631448</v>
      </c>
      <c r="I42" s="867">
        <f>VMT.VHT.ADT.Trip.Types!AW50</f>
        <v>2975838.3957856074</v>
      </c>
      <c r="J42" s="867">
        <f>VMT.VHT.ADT.Trip.Types!AX50</f>
        <v>3042741.4641012065</v>
      </c>
      <c r="K42" s="867">
        <f>VMT.VHT.ADT.Trip.Types!AY50</f>
        <v>3111148.653257635</v>
      </c>
      <c r="L42" s="867">
        <f>VMT.VHT.ADT.Trip.Types!AZ50</f>
        <v>3181093.7790358537</v>
      </c>
      <c r="M42" s="867">
        <f>VMT.VHT.ADT.Trip.Types!BA50</f>
        <v>3252611.4174662763</v>
      </c>
      <c r="N42" s="867">
        <f>VMT.VHT.ADT.Trip.Types!BB50</f>
        <v>3325736.9219207591</v>
      </c>
      <c r="O42" s="867">
        <f>VMT.VHT.ADT.Trip.Types!BC50</f>
        <v>3400506.4405888706</v>
      </c>
      <c r="P42" s="867">
        <f>VMT.VHT.ADT.Trip.Types!BD50</f>
        <v>3476956.934347047</v>
      </c>
      <c r="Q42" s="867">
        <f>VMT.VHT.ADT.Trip.Types!BE50</f>
        <v>3555126.1950294995</v>
      </c>
      <c r="R42" s="867">
        <f>VMT.VHT.ADT.Trip.Types!BF50</f>
        <v>3635052.8641098756</v>
      </c>
      <c r="S42" s="867">
        <f>VMT.VHT.ADT.Trip.Types!BG50</f>
        <v>3716776.4518029341</v>
      </c>
      <c r="T42" s="867">
        <f>VMT.VHT.ADT.Trip.Types!BH50</f>
        <v>3800337.3565956606</v>
      </c>
      <c r="U42" s="867">
        <f>VMT.VHT.ADT.Trip.Types!BI50</f>
        <v>3885776.8852174827</v>
      </c>
      <c r="V42" s="867">
        <f>VMT.VHT.ADT.Trip.Types!BJ50</f>
        <v>3973137.2730594603</v>
      </c>
      <c r="W42" s="867">
        <f>VMT.VHT.ADT.Trip.Types!BK50</f>
        <v>4062461.7050525411</v>
      </c>
    </row>
    <row r="43" spans="1:26" ht="15" x14ac:dyDescent="0.25">
      <c r="B43" s="1397" t="s">
        <v>140</v>
      </c>
      <c r="C43" s="867">
        <f>VMT.VHT.ADT.Trip.Types!AQ51</f>
        <v>897467.39945533779</v>
      </c>
      <c r="D43" s="867">
        <f>VMT.VHT.ADT.Trip.Types!AR51</f>
        <v>926381.51465221588</v>
      </c>
      <c r="E43" s="867">
        <f>VMT.VHT.ADT.Trip.Types!AS51</f>
        <v>956227.16904274665</v>
      </c>
      <c r="F43" s="867">
        <f>VMT.VHT.ADT.Trip.Types!AT51</f>
        <v>987034.37444860989</v>
      </c>
      <c r="G43" s="867">
        <f>VMT.VHT.ADT.Trip.Types!AU51</f>
        <v>1018834.1095959875</v>
      </c>
      <c r="H43" s="867">
        <f>VMT.VHT.ADT.Trip.Types!AV51</f>
        <v>1051658.3512667657</v>
      </c>
      <c r="I43" s="867">
        <f>VMT.VHT.ADT.Trip.Types!AW51</f>
        <v>1085540.1064533498</v>
      </c>
      <c r="J43" s="867">
        <f>VMT.VHT.ADT.Trip.Types!AX51</f>
        <v>1120513.445549424</v>
      </c>
      <c r="K43" s="867">
        <f>VMT.VHT.ADT.Trip.Types!AY51</f>
        <v>1156613.5366100343</v>
      </c>
      <c r="L43" s="867">
        <f>VMT.VHT.ADT.Trip.Types!AZ51</f>
        <v>1193876.6807154433</v>
      </c>
      <c r="M43" s="867">
        <f>VMT.VHT.ADT.Trip.Types!BA51</f>
        <v>1232340.3484743196</v>
      </c>
      <c r="N43" s="867">
        <f>VMT.VHT.ADT.Trip.Types!BB51</f>
        <v>1272043.2177029643</v>
      </c>
      <c r="O43" s="867">
        <f>VMT.VHT.ADT.Trip.Types!BC51</f>
        <v>1313025.2123184702</v>
      </c>
      <c r="P43" s="867">
        <f>VMT.VHT.ADT.Trip.Types!BD51</f>
        <v>1355327.5424849165</v>
      </c>
      <c r="Q43" s="867">
        <f>VMT.VHT.ADT.Trip.Types!BE51</f>
        <v>1398992.7460529716</v>
      </c>
      <c r="R43" s="867">
        <f>VMT.VHT.ADT.Trip.Types!BF51</f>
        <v>1444064.731334578</v>
      </c>
      <c r="S43" s="867">
        <f>VMT.VHT.ADT.Trip.Types!BG51</f>
        <v>1490588.8212557232</v>
      </c>
      <c r="T43" s="867">
        <f>VMT.VHT.ADT.Trip.Types!BH51</f>
        <v>1538611.7989317065</v>
      </c>
      <c r="U43" s="867">
        <f>VMT.VHT.ADT.Trip.Types!BI51</f>
        <v>1588181.9547107199</v>
      </c>
      <c r="V43" s="867">
        <f>VMT.VHT.ADT.Trip.Types!BJ51</f>
        <v>1639349.1347330555</v>
      </c>
      <c r="W43" s="867">
        <f>VMT.VHT.ADT.Trip.Types!BK51</f>
        <v>1692164.7910547676</v>
      </c>
    </row>
    <row r="44" spans="1:26" ht="15" x14ac:dyDescent="0.25">
      <c r="B44" s="1396" t="s">
        <v>5</v>
      </c>
      <c r="C44" s="867"/>
      <c r="D44" s="867"/>
    </row>
    <row r="45" spans="1:26" ht="15" x14ac:dyDescent="0.25">
      <c r="B45" s="864"/>
      <c r="C45" s="867"/>
      <c r="D45" s="867"/>
    </row>
    <row r="46" spans="1:26" ht="21" x14ac:dyDescent="0.35">
      <c r="A46" s="865">
        <v>3</v>
      </c>
      <c r="B46" s="865" t="s">
        <v>660</v>
      </c>
      <c r="C46" s="867"/>
      <c r="D46" s="867"/>
    </row>
    <row r="47" spans="1:26" ht="15.75" x14ac:dyDescent="0.25">
      <c r="B47" s="862" t="s">
        <v>0</v>
      </c>
      <c r="C47" s="869">
        <f>2023</f>
        <v>2023</v>
      </c>
      <c r="D47" s="869">
        <f>C47+1</f>
        <v>2024</v>
      </c>
      <c r="E47" s="869">
        <f t="shared" ref="E47" si="116">D47+1</f>
        <v>2025</v>
      </c>
      <c r="F47" s="869">
        <f t="shared" ref="F47" si="117">E47+1</f>
        <v>2026</v>
      </c>
      <c r="G47" s="869">
        <f t="shared" ref="G47" si="118">F47+1</f>
        <v>2027</v>
      </c>
      <c r="H47" s="869">
        <f t="shared" ref="H47" si="119">G47+1</f>
        <v>2028</v>
      </c>
      <c r="I47" s="869">
        <f t="shared" ref="I47" si="120">H47+1</f>
        <v>2029</v>
      </c>
      <c r="J47" s="869">
        <f t="shared" ref="J47" si="121">I47+1</f>
        <v>2030</v>
      </c>
      <c r="K47" s="869">
        <f t="shared" ref="K47" si="122">J47+1</f>
        <v>2031</v>
      </c>
      <c r="L47" s="869">
        <f t="shared" ref="L47" si="123">K47+1</f>
        <v>2032</v>
      </c>
      <c r="M47" s="869">
        <f t="shared" ref="M47" si="124">L47+1</f>
        <v>2033</v>
      </c>
      <c r="N47" s="869">
        <f t="shared" ref="N47" si="125">M47+1</f>
        <v>2034</v>
      </c>
      <c r="O47" s="869">
        <f t="shared" ref="O47" si="126">N47+1</f>
        <v>2035</v>
      </c>
      <c r="P47" s="869">
        <f t="shared" ref="P47" si="127">O47+1</f>
        <v>2036</v>
      </c>
      <c r="Q47" s="869">
        <f t="shared" ref="Q47" si="128">P47+1</f>
        <v>2037</v>
      </c>
      <c r="R47" s="869">
        <f t="shared" ref="R47" si="129">Q47+1</f>
        <v>2038</v>
      </c>
      <c r="S47" s="869">
        <f t="shared" ref="S47" si="130">R47+1</f>
        <v>2039</v>
      </c>
      <c r="T47" s="869">
        <f t="shared" ref="T47" si="131">S47+1</f>
        <v>2040</v>
      </c>
      <c r="U47" s="869">
        <f t="shared" ref="U47" si="132">T47+1</f>
        <v>2041</v>
      </c>
      <c r="V47" s="869">
        <f t="shared" ref="V47" si="133">U47+1</f>
        <v>2042</v>
      </c>
      <c r="W47" s="869">
        <f t="shared" ref="W47" si="134">V47+1</f>
        <v>2043</v>
      </c>
    </row>
    <row r="48" spans="1:26" ht="15" x14ac:dyDescent="0.25">
      <c r="B48" s="1397" t="s">
        <v>573</v>
      </c>
      <c r="C48" s="867">
        <f>VMT.VHT.ADT.Trip.Types!AQ55</f>
        <v>8469045.2065612637</v>
      </c>
      <c r="D48" s="867">
        <f>VMT.VHT.ADT.Trip.Types!AR55</f>
        <v>8669953.5787617825</v>
      </c>
      <c r="E48" s="867">
        <f>VMT.VHT.ADT.Trip.Types!AS55</f>
        <v>8875628.0341553614</v>
      </c>
      <c r="F48" s="867">
        <f>VMT.VHT.ADT.Trip.Types!AT55</f>
        <v>9086181.6369650308</v>
      </c>
      <c r="G48" s="867">
        <f>VMT.VHT.ADT.Trip.Types!AU55</f>
        <v>9301730.1335991733</v>
      </c>
      <c r="H48" s="867">
        <f>VMT.VHT.ADT.Trip.Types!AV55</f>
        <v>9522392.0162801277</v>
      </c>
      <c r="I48" s="867">
        <f>VMT.VHT.ADT.Trip.Types!AW55</f>
        <v>9748288.5881822221</v>
      </c>
      <c r="J48" s="867">
        <f>VMT.VHT.ADT.Trip.Types!AX55</f>
        <v>9979544.030115068</v>
      </c>
      <c r="K48" s="867">
        <f>VMT.VHT.ADT.Trip.Types!AY55</f>
        <v>10216285.468788756</v>
      </c>
      <c r="L48" s="867">
        <f>VMT.VHT.ADT.Trip.Types!AZ55</f>
        <v>10458643.046698483</v>
      </c>
      <c r="M48" s="867">
        <f>VMT.VHT.ADT.Trip.Types!BA55</f>
        <v>10706749.993667021</v>
      </c>
      <c r="N48" s="867">
        <f>VMT.VHT.ADT.Trip.Types!BB55</f>
        <v>10960742.700084392</v>
      </c>
      <c r="O48" s="867">
        <f>VMT.VHT.ADT.Trip.Types!BC55</f>
        <v>11220760.791884942</v>
      </c>
      <c r="P48" s="867">
        <f>VMT.VHT.ADT.Trip.Types!BD55</f>
        <v>11486947.207303116</v>
      </c>
      <c r="Q48" s="867">
        <f>VMT.VHT.ADT.Trip.Types!BE55</f>
        <v>11759448.275450043</v>
      </c>
      <c r="R48" s="867">
        <f>VMT.VHT.ADT.Trip.Types!BF55</f>
        <v>12038413.796754204</v>
      </c>
      <c r="S48" s="867">
        <f>VMT.VHT.ADT.Trip.Types!BG55</f>
        <v>12323997.125310337</v>
      </c>
      <c r="T48" s="867">
        <f>VMT.VHT.ADT.Trip.Types!BH55</f>
        <v>12616355.253181908</v>
      </c>
      <c r="U48" s="867">
        <f>VMT.VHT.ADT.Trip.Types!BI55</f>
        <v>12915648.896703433</v>
      </c>
      <c r="V48" s="867">
        <f>VMT.VHT.ADT.Trip.Types!BJ55</f>
        <v>13222042.584830141</v>
      </c>
      <c r="W48" s="867">
        <f>VMT.VHT.ADT.Trip.Types!BK55</f>
        <v>13535704.749583511</v>
      </c>
    </row>
    <row r="49" spans="1:25" ht="15" x14ac:dyDescent="0.25">
      <c r="B49" s="1397" t="s">
        <v>574</v>
      </c>
      <c r="C49" s="867">
        <f>VMT.VHT.ADT.Trip.Types!AQ56</f>
        <v>4593359.8318302492</v>
      </c>
      <c r="D49" s="867">
        <f>VMT.VHT.ADT.Trip.Types!AR56</f>
        <v>4666563.3627820546</v>
      </c>
      <c r="E49" s="867">
        <f>VMT.VHT.ADT.Trip.Types!AS56</f>
        <v>4740933.5249450002</v>
      </c>
      <c r="F49" s="867">
        <f>VMT.VHT.ADT.Trip.Types!AT56</f>
        <v>4816488.9107061625</v>
      </c>
      <c r="G49" s="867">
        <f>VMT.VHT.ADT.Trip.Types!AU56</f>
        <v>4893248.4087560717</v>
      </c>
      <c r="H49" s="867">
        <f>VMT.VHT.ADT.Trip.Types!AV56</f>
        <v>4971231.2088108454</v>
      </c>
      <c r="I49" s="867">
        <f>VMT.VHT.ADT.Trip.Types!AW56</f>
        <v>5050456.8064095778</v>
      </c>
      <c r="J49" s="867">
        <f>VMT.VHT.ADT.Trip.Types!AX56</f>
        <v>5130945.007788185</v>
      </c>
      <c r="K49" s="867">
        <f>VMT.VHT.ADT.Trip.Types!AY56</f>
        <v>5212715.9348309217</v>
      </c>
      <c r="L49" s="867">
        <f>VMT.VHT.ADT.Trip.Types!AZ56</f>
        <v>5295790.0301008141</v>
      </c>
      <c r="M49" s="867">
        <f>VMT.VHT.ADT.Trip.Types!BA56</f>
        <v>5380188.0619502533</v>
      </c>
      <c r="N49" s="867">
        <f>VMT.VHT.ADT.Trip.Types!BB56</f>
        <v>5465931.1297130464</v>
      </c>
      <c r="O49" s="867">
        <f>VMT.VHT.ADT.Trip.Types!BC56</f>
        <v>5553040.6689791987</v>
      </c>
      <c r="P49" s="867">
        <f>VMT.VHT.ADT.Trip.Types!BD56</f>
        <v>5641538.456953777</v>
      </c>
      <c r="Q49" s="867">
        <f>VMT.VHT.ADT.Trip.Types!BE56</f>
        <v>5731446.6179011539</v>
      </c>
      <c r="R49" s="867">
        <f>VMT.VHT.ADT.Trip.Types!BF56</f>
        <v>5822787.628676042</v>
      </c>
      <c r="S49" s="867">
        <f>VMT.VHT.ADT.Trip.Types!BG56</f>
        <v>5915584.3243426504</v>
      </c>
      <c r="T49" s="867">
        <f>VMT.VHT.ADT.Trip.Types!BH56</f>
        <v>6009859.903883406</v>
      </c>
      <c r="U49" s="867">
        <f>VMT.VHT.ADT.Trip.Types!BI56</f>
        <v>6105637.9359986577</v>
      </c>
      <c r="V49" s="867">
        <f>VMT.VHT.ADT.Trip.Types!BJ56</f>
        <v>6202942.3649987932</v>
      </c>
      <c r="W49" s="867">
        <f>VMT.VHT.ADT.Trip.Types!BK56</f>
        <v>6301797.5167902689</v>
      </c>
    </row>
    <row r="50" spans="1:25" ht="15" x14ac:dyDescent="0.25">
      <c r="B50" s="1397" t="s">
        <v>575</v>
      </c>
      <c r="C50" s="867">
        <f>VMT.VHT.ADT.Trip.Types!AQ57</f>
        <v>2787464.9820931358</v>
      </c>
      <c r="D50" s="867">
        <f>VMT.VHT.ADT.Trip.Types!AR57</f>
        <v>2853311.3283654531</v>
      </c>
      <c r="E50" s="867">
        <f>VMT.VHT.ADT.Trip.Types!AS57</f>
        <v>2920713.1170721208</v>
      </c>
      <c r="F50" s="867">
        <f>VMT.VHT.ADT.Trip.Types!AT57</f>
        <v>2989707.0913477782</v>
      </c>
      <c r="G50" s="867">
        <f>VMT.VHT.ADT.Trip.Types!AU57</f>
        <v>3060330.8622845751</v>
      </c>
      <c r="H50" s="867">
        <f>VMT.VHT.ADT.Trip.Types!AV57</f>
        <v>3132622.9294353276</v>
      </c>
      <c r="I50" s="867">
        <f>VMT.VHT.ADT.Trip.Types!AW57</f>
        <v>3206622.701801009</v>
      </c>
      <c r="J50" s="867">
        <f>VMT.VHT.ADT.Trip.Types!AX57</f>
        <v>3282370.5193140064</v>
      </c>
      <c r="K50" s="867">
        <f>VMT.VHT.ADT.Trip.Types!AY57</f>
        <v>3359907.6748288716</v>
      </c>
      <c r="L50" s="867">
        <f>VMT.VHT.ADT.Trip.Types!AZ57</f>
        <v>3439276.4366325326</v>
      </c>
      <c r="M50" s="867">
        <f>VMT.VHT.ADT.Trip.Types!BA57</f>
        <v>3520520.0714862607</v>
      </c>
      <c r="N50" s="867">
        <f>VMT.VHT.ADT.Trip.Types!BB57</f>
        <v>3603682.8682119274</v>
      </c>
      <c r="O50" s="867">
        <f>VMT.VHT.ADT.Trip.Types!BC57</f>
        <v>3688810.1618354395</v>
      </c>
      <c r="P50" s="867">
        <f>VMT.VHT.ADT.Trip.Types!BD57</f>
        <v>3775948.3583004824</v>
      </c>
      <c r="Q50" s="867">
        <f>VMT.VHT.ADT.Trip.Types!BE57</f>
        <v>3865144.959766069</v>
      </c>
      <c r="R50" s="867">
        <f>VMT.VHT.ADT.Trip.Types!BF57</f>
        <v>3956448.5905016731</v>
      </c>
      <c r="S50" s="867">
        <f>VMT.VHT.ADT.Trip.Types!BG57</f>
        <v>4049909.0233940608</v>
      </c>
      <c r="T50" s="867">
        <f>VMT.VHT.ADT.Trip.Types!BH57</f>
        <v>4145577.2070802781</v>
      </c>
      <c r="U50" s="867">
        <f>VMT.VHT.ADT.Trip.Types!BI57</f>
        <v>4243505.2937215883</v>
      </c>
      <c r="V50" s="867">
        <f>VMT.VHT.ADT.Trip.Types!BJ57</f>
        <v>4343746.6674334779</v>
      </c>
      <c r="W50" s="867">
        <f>VMT.VHT.ADT.Trip.Types!BK57</f>
        <v>4446355.97338726</v>
      </c>
    </row>
    <row r="51" spans="1:25" ht="15" x14ac:dyDescent="0.25">
      <c r="B51" s="1397" t="s">
        <v>140</v>
      </c>
      <c r="C51" s="867">
        <f>VMT.VHT.ADT.Trip.Types!AQ58</f>
        <v>963393.61397058831</v>
      </c>
      <c r="D51" s="867">
        <f>VMT.VHT.ADT.Trip.Types!AR58</f>
        <v>995321.63278624869</v>
      </c>
      <c r="E51" s="867">
        <f>VMT.VHT.ADT.Trip.Types!AS58</f>
        <v>1028307.7844052723</v>
      </c>
      <c r="F51" s="867">
        <f>VMT.VHT.ADT.Trip.Types!AT58</f>
        <v>1062387.136616739</v>
      </c>
      <c r="G51" s="867">
        <f>VMT.VHT.ADT.Trip.Types!AU58</f>
        <v>1097595.9193982806</v>
      </c>
      <c r="H51" s="867">
        <f>VMT.VHT.ADT.Trip.Types!AV58</f>
        <v>1133971.5634324024</v>
      </c>
      <c r="I51" s="867">
        <f>VMT.VHT.ADT.Trip.Types!AW58</f>
        <v>1171552.7398992819</v>
      </c>
      <c r="J51" s="867">
        <f>VMT.VHT.ADT.Trip.Types!AX58</f>
        <v>1210379.401588348</v>
      </c>
      <c r="K51" s="867">
        <f>VMT.VHT.ADT.Trip.Types!AY58</f>
        <v>1250492.8253723467</v>
      </c>
      <c r="L51" s="867">
        <f>VMT.VHT.ADT.Trip.Types!AZ58</f>
        <v>1291935.6560890505</v>
      </c>
      <c r="M51" s="867">
        <f>VMT.VHT.ADT.Trip.Types!BA58</f>
        <v>1334751.9518772564</v>
      </c>
      <c r="N51" s="867">
        <f>VMT.VHT.ADT.Trip.Types!BB58</f>
        <v>1378987.231015278</v>
      </c>
      <c r="O51" s="867">
        <f>VMT.VHT.ADT.Trip.Types!BC58</f>
        <v>1424688.5203117165</v>
      </c>
      <c r="P51" s="867">
        <f>VMT.VHT.ADT.Trip.Types!BD58</f>
        <v>1471904.4050999628</v>
      </c>
      <c r="Q51" s="867">
        <f>VMT.VHT.ADT.Trip.Types!BE58</f>
        <v>1520685.080889578</v>
      </c>
      <c r="R51" s="867">
        <f>VMT.VHT.ADT.Trip.Types!BF58</f>
        <v>1571082.4067294588</v>
      </c>
      <c r="S51" s="867">
        <f>VMT.VHT.ADT.Trip.Types!BG58</f>
        <v>1623149.9603395271</v>
      </c>
      <c r="T51" s="867">
        <f>VMT.VHT.ADT.Trip.Types!BH58</f>
        <v>1676943.0950695453</v>
      </c>
      <c r="U51" s="867">
        <f>VMT.VHT.ADT.Trip.Types!BI58</f>
        <v>1732518.998745617</v>
      </c>
      <c r="V51" s="867">
        <f>VMT.VHT.ADT.Trip.Types!BJ58</f>
        <v>1789936.7544669327</v>
      </c>
      <c r="W51" s="867">
        <f>VMT.VHT.ADT.Trip.Types!BK58</f>
        <v>1849257.4034173908</v>
      </c>
    </row>
    <row r="52" spans="1:25" ht="15" x14ac:dyDescent="0.25">
      <c r="B52" s="1396" t="s">
        <v>5</v>
      </c>
      <c r="C52" s="867"/>
      <c r="D52" s="867"/>
    </row>
    <row r="53" spans="1:25" ht="15" x14ac:dyDescent="0.25">
      <c r="B53" s="864"/>
      <c r="C53" s="867"/>
      <c r="D53" s="867"/>
    </row>
    <row r="54" spans="1:25" ht="26.25" x14ac:dyDescent="0.4">
      <c r="C54" s="1918" t="s">
        <v>638</v>
      </c>
      <c r="D54" s="1918"/>
      <c r="E54" s="1918"/>
      <c r="F54" s="1918"/>
      <c r="G54" s="1918"/>
      <c r="H54" s="1918"/>
      <c r="I54" s="1918"/>
      <c r="J54" s="1918"/>
      <c r="K54" s="1918"/>
      <c r="L54" s="1918"/>
      <c r="M54" s="1918"/>
      <c r="N54" s="1918"/>
      <c r="O54" s="1918"/>
      <c r="P54" s="1918"/>
      <c r="Q54" s="1918"/>
      <c r="R54" s="1918"/>
      <c r="S54" s="1918"/>
      <c r="T54" s="1918"/>
      <c r="U54" s="1404"/>
      <c r="V54" s="1404"/>
      <c r="W54" s="1404"/>
    </row>
    <row r="55" spans="1:25" s="574" customFormat="1" ht="15" x14ac:dyDescent="0.25">
      <c r="C55" s="866"/>
      <c r="D55" s="866"/>
      <c r="E55" s="866"/>
      <c r="F55" s="866"/>
      <c r="G55" s="866"/>
      <c r="H55" s="866"/>
      <c r="I55" s="866"/>
      <c r="J55" s="866"/>
      <c r="K55" s="866"/>
      <c r="L55" s="866"/>
      <c r="M55" s="866"/>
      <c r="N55" s="866"/>
      <c r="O55" s="866"/>
      <c r="P55" s="866"/>
      <c r="Q55" s="866"/>
      <c r="R55" s="866"/>
      <c r="S55" s="866"/>
      <c r="T55" s="866"/>
      <c r="U55" s="866"/>
      <c r="V55" s="866"/>
      <c r="W55" s="866"/>
    </row>
    <row r="56" spans="1:25" ht="21" x14ac:dyDescent="0.35">
      <c r="A56" s="865">
        <v>1</v>
      </c>
      <c r="B56" s="861" t="s">
        <v>502</v>
      </c>
    </row>
    <row r="57" spans="1:25" ht="15.75" x14ac:dyDescent="0.25">
      <c r="B57" s="862" t="s">
        <v>0</v>
      </c>
      <c r="C57" s="869">
        <v>2023</v>
      </c>
      <c r="D57" s="869">
        <v>2024</v>
      </c>
      <c r="E57" s="869">
        <v>2025</v>
      </c>
      <c r="F57" s="869">
        <v>2026</v>
      </c>
      <c r="G57" s="869">
        <v>2027</v>
      </c>
      <c r="H57" s="869">
        <v>2028</v>
      </c>
      <c r="I57" s="869">
        <v>2029</v>
      </c>
      <c r="J57" s="869">
        <v>2030</v>
      </c>
      <c r="K57" s="869">
        <v>2031</v>
      </c>
      <c r="L57" s="869">
        <v>2032</v>
      </c>
      <c r="M57" s="869">
        <v>2033</v>
      </c>
      <c r="N57" s="869">
        <v>2034</v>
      </c>
      <c r="O57" s="869">
        <v>2035</v>
      </c>
      <c r="P57" s="869">
        <v>2036</v>
      </c>
      <c r="Q57" s="869">
        <v>2037</v>
      </c>
      <c r="R57" s="869">
        <v>2038</v>
      </c>
      <c r="S57" s="869">
        <v>2039</v>
      </c>
      <c r="T57" s="869">
        <v>2040</v>
      </c>
      <c r="U57" s="869">
        <v>2041</v>
      </c>
      <c r="V57" s="869">
        <v>2042</v>
      </c>
      <c r="W57" s="869">
        <v>2043</v>
      </c>
    </row>
    <row r="58" spans="1:25" ht="15" x14ac:dyDescent="0.25">
      <c r="B58" s="1397" t="s">
        <v>573</v>
      </c>
      <c r="C58" s="867">
        <f>VMT.VHT.ADT.Trip.Types!AQ65</f>
        <v>87468717.469048768</v>
      </c>
      <c r="D58" s="867">
        <f>VMT.VHT.ADT.Trip.Types!AR65</f>
        <v>88235600.603181824</v>
      </c>
      <c r="E58" s="867">
        <f>VMT.VHT.ADT.Trip.Types!AS65</f>
        <v>89009207.395308673</v>
      </c>
      <c r="F58" s="867">
        <f>VMT.VHT.ADT.Trip.Types!AT65</f>
        <v>89789596.79518944</v>
      </c>
      <c r="G58" s="867">
        <f>VMT.VHT.ADT.Trip.Types!AU65</f>
        <v>90576828.269427121</v>
      </c>
      <c r="H58" s="867">
        <f>VMT.VHT.ADT.Trip.Types!AV65</f>
        <v>91370961.805998862</v>
      </c>
      <c r="I58" s="867">
        <f>VMT.VHT.ADT.Trip.Types!AW65</f>
        <v>92172057.918827206</v>
      </c>
      <c r="J58" s="867">
        <f>VMT.VHT.ADT.Trip.Types!AX65</f>
        <v>92980177.652391315</v>
      </c>
      <c r="K58" s="867">
        <f>VMT.VHT.ADT.Trip.Types!AY65</f>
        <v>93795382.586378664</v>
      </c>
      <c r="L58" s="867">
        <f>VMT.VHT.ADT.Trip.Types!AZ65</f>
        <v>94617734.84037739</v>
      </c>
      <c r="M58" s="867">
        <f>VMT.VHT.ADT.Trip.Types!BA65</f>
        <v>95447297.078610003</v>
      </c>
      <c r="N58" s="867">
        <f>VMT.VHT.ADT.Trip.Types!BB65</f>
        <v>96284132.514708325</v>
      </c>
      <c r="O58" s="867">
        <f>VMT.VHT.ADT.Trip.Types!BC65</f>
        <v>97128304.916530609</v>
      </c>
      <c r="P58" s="867">
        <f>VMT.VHT.ADT.Trip.Types!BD65</f>
        <v>97979878.61102061</v>
      </c>
      <c r="Q58" s="867">
        <f>VMT.VHT.ADT.Trip.Types!BE65</f>
        <v>98838918.489109412</v>
      </c>
      <c r="R58" s="867">
        <f>VMT.VHT.ADT.Trip.Types!BF65</f>
        <v>99705490.010660172</v>
      </c>
      <c r="S58" s="867">
        <f>VMT.VHT.ADT.Trip.Types!BG65</f>
        <v>100579659.20945635</v>
      </c>
      <c r="T58" s="867">
        <f>VMT.VHT.ADT.Trip.Types!BH65</f>
        <v>101461492.69823338</v>
      </c>
      <c r="U58" s="867">
        <f>VMT.VHT.ADT.Trip.Types!BI65</f>
        <v>102351057.67375472</v>
      </c>
      <c r="V58" s="867">
        <f>VMT.VHT.ADT.Trip.Types!BJ65</f>
        <v>103248421.92193244</v>
      </c>
      <c r="W58" s="867">
        <f>VMT.VHT.ADT.Trip.Types!BK65</f>
        <v>104153653.8229924</v>
      </c>
    </row>
    <row r="59" spans="1:25" ht="15" x14ac:dyDescent="0.25">
      <c r="B59" s="1397" t="s">
        <v>574</v>
      </c>
      <c r="C59" s="867">
        <f>VMT.VHT.ADT.Trip.Types!AQ66</f>
        <v>47387568.758724816</v>
      </c>
      <c r="D59" s="867">
        <f>VMT.VHT.ADT.Trip.Types!AR66</f>
        <v>47441858.345112845</v>
      </c>
      <c r="E59" s="867">
        <f>VMT.VHT.ADT.Trip.Types!AS66</f>
        <v>47496210.128386408</v>
      </c>
      <c r="F59" s="867">
        <f>VMT.VHT.ADT.Trip.Types!AT66</f>
        <v>47550624.179801412</v>
      </c>
      <c r="G59" s="867">
        <f>VMT.VHT.ADT.Trip.Types!AU66</f>
        <v>47605100.570695348</v>
      </c>
      <c r="H59" s="867">
        <f>VMT.VHT.ADT.Trip.Types!AV66</f>
        <v>47659639.372487485</v>
      </c>
      <c r="I59" s="867">
        <f>VMT.VHT.ADT.Trip.Types!AW66</f>
        <v>47714240.6566789</v>
      </c>
      <c r="J59" s="867">
        <f>VMT.VHT.ADT.Trip.Types!AX66</f>
        <v>47768904.494852565</v>
      </c>
      <c r="K59" s="867">
        <f>VMT.VHT.ADT.Trip.Types!AY66</f>
        <v>47823630.958673455</v>
      </c>
      <c r="L59" s="867">
        <f>VMT.VHT.ADT.Trip.Types!AZ66</f>
        <v>47878420.119888686</v>
      </c>
      <c r="M59" s="867">
        <f>VMT.VHT.ADT.Trip.Types!BA66</f>
        <v>47933272.050327569</v>
      </c>
      <c r="N59" s="867">
        <f>VMT.VHT.ADT.Trip.Types!BB66</f>
        <v>47988186.821901679</v>
      </c>
      <c r="O59" s="867">
        <f>VMT.VHT.ADT.Trip.Types!BC66</f>
        <v>48043164.506604947</v>
      </c>
      <c r="P59" s="867">
        <f>VMT.VHT.ADT.Trip.Types!BD66</f>
        <v>48098205.17651388</v>
      </c>
      <c r="Q59" s="867">
        <f>VMT.VHT.ADT.Trip.Types!BE66</f>
        <v>48153308.903787471</v>
      </c>
      <c r="R59" s="867">
        <f>VMT.VHT.ADT.Trip.Types!BF66</f>
        <v>48208475.760667428</v>
      </c>
      <c r="S59" s="867">
        <f>VMT.VHT.ADT.Trip.Types!BG66</f>
        <v>48263705.819478206</v>
      </c>
      <c r="T59" s="867">
        <f>VMT.VHT.ADT.Trip.Types!BH66</f>
        <v>48318999.15262711</v>
      </c>
      <c r="U59" s="867">
        <f>VMT.VHT.ADT.Trip.Types!BI66</f>
        <v>48374355.832604431</v>
      </c>
      <c r="V59" s="867">
        <f>VMT.VHT.ADT.Trip.Types!BJ66</f>
        <v>48429775.931983471</v>
      </c>
      <c r="W59" s="867">
        <f>VMT.VHT.ADT.Trip.Types!BK66</f>
        <v>48485259.523420669</v>
      </c>
    </row>
    <row r="60" spans="1:25" ht="15" x14ac:dyDescent="0.25">
      <c r="B60" s="1397" t="s">
        <v>575</v>
      </c>
      <c r="C60" s="867">
        <f>VMT.VHT.ADT.Trip.Types!AQ67</f>
        <v>28787735.515373368</v>
      </c>
      <c r="D60" s="867">
        <f>VMT.VHT.ADT.Trip.Types!AR67</f>
        <v>29037244.911846101</v>
      </c>
      <c r="E60" s="867">
        <f>VMT.VHT.ADT.Trip.Types!AS67</f>
        <v>29288916.859065309</v>
      </c>
      <c r="F60" s="867">
        <f>VMT.VHT.ADT.Trip.Types!AT67</f>
        <v>29542770.100316007</v>
      </c>
      <c r="G60" s="867">
        <f>VMT.VHT.ADT.Trip.Types!AU67</f>
        <v>29798823.541335229</v>
      </c>
      <c r="H60" s="867">
        <f>VMT.VHT.ADT.Trip.Types!AV67</f>
        <v>30057096.251720019</v>
      </c>
      <c r="I60" s="867">
        <f>VMT.VHT.ADT.Trip.Types!AW67</f>
        <v>30317607.466347668</v>
      </c>
      <c r="J60" s="867">
        <f>VMT.VHT.ADT.Trip.Types!AX67</f>
        <v>30580376.586808216</v>
      </c>
      <c r="K60" s="867">
        <f>VMT.VHT.ADT.Trip.Types!AY67</f>
        <v>30845423.182849392</v>
      </c>
      <c r="L60" s="867">
        <f>VMT.VHT.ADT.Trip.Types!AZ67</f>
        <v>31112766.993834067</v>
      </c>
      <c r="M60" s="867">
        <f>VMT.VHT.ADT.Trip.Types!BA67</f>
        <v>31382427.930210348</v>
      </c>
      <c r="N60" s="867">
        <f>VMT.VHT.ADT.Trip.Types!BB67</f>
        <v>31654426.074994408</v>
      </c>
      <c r="O60" s="867">
        <f>VMT.VHT.ADT.Trip.Types!BC67</f>
        <v>31928781.685266178</v>
      </c>
      <c r="P60" s="867">
        <f>VMT.VHT.ADT.Trip.Types!BD67</f>
        <v>32205515.19367798</v>
      </c>
      <c r="Q60" s="867">
        <f>VMT.VHT.ADT.Trip.Types!BE67</f>
        <v>32484647.209976271</v>
      </c>
      <c r="R60" s="867">
        <f>VMT.VHT.ADT.Trip.Types!BF67</f>
        <v>32766198.52253652</v>
      </c>
      <c r="S60" s="867">
        <f>VMT.VHT.ADT.Trip.Types!BG67</f>
        <v>33050190.099911474</v>
      </c>
      <c r="T60" s="867">
        <f>VMT.VHT.ADT.Trip.Types!BH67</f>
        <v>33336643.092392743</v>
      </c>
      <c r="U60" s="867">
        <f>VMT.VHT.ADT.Trip.Types!BI67</f>
        <v>33625578.833586</v>
      </c>
      <c r="V60" s="867">
        <f>VMT.VHT.ADT.Trip.Types!BJ67</f>
        <v>33917018.841999784</v>
      </c>
      <c r="W60" s="867">
        <f>VMT.VHT.ADT.Trip.Types!BK67</f>
        <v>34210984.822648115</v>
      </c>
      <c r="X60" s="870">
        <f>SUM(T58:T60)</f>
        <v>183117134.94325322</v>
      </c>
      <c r="Y60" s="574" t="s">
        <v>385</v>
      </c>
    </row>
    <row r="61" spans="1:25" ht="15" x14ac:dyDescent="0.25">
      <c r="B61" s="1397" t="s">
        <v>140</v>
      </c>
      <c r="C61" s="867">
        <f>VMT.VHT.ADT.Trip.Types!AQ68</f>
        <v>11384420.08687284</v>
      </c>
      <c r="D61" s="867">
        <f>VMT.VHT.ADT.Trip.Types!AR68</f>
        <v>11451092.71405975</v>
      </c>
      <c r="E61" s="867">
        <f>VMT.VHT.ADT.Trip.Types!AS68</f>
        <v>11518155.808146339</v>
      </c>
      <c r="F61" s="867">
        <f>VMT.VHT.ADT.Trip.Types!AT68</f>
        <v>11585611.655894155</v>
      </c>
      <c r="G61" s="867">
        <f>VMT.VHT.ADT.Trip.Types!AU68</f>
        <v>11653462.557457108</v>
      </c>
      <c r="H61" s="867">
        <f>VMT.VHT.ADT.Trip.Types!AV68</f>
        <v>11721710.826459924</v>
      </c>
      <c r="I61" s="867">
        <f>VMT.VHT.ADT.Trip.Types!AW68</f>
        <v>11790358.790077012</v>
      </c>
      <c r="J61" s="867">
        <f>VMT.VHT.ADT.Trip.Types!AX68</f>
        <v>11859408.789111845</v>
      </c>
      <c r="K61" s="867">
        <f>VMT.VHT.ADT.Trip.Types!AY68</f>
        <v>11928863.178076755</v>
      </c>
      <c r="L61" s="867">
        <f>VMT.VHT.ADT.Trip.Types!AZ68</f>
        <v>11998724.325273229</v>
      </c>
      <c r="M61" s="867">
        <f>VMT.VHT.ADT.Trip.Types!BA68</f>
        <v>12068994.612872673</v>
      </c>
      <c r="N61" s="867">
        <f>VMT.VHT.ADT.Trip.Types!BB68</f>
        <v>12139676.43699762</v>
      </c>
      <c r="O61" s="867">
        <f>VMT.VHT.ADT.Trip.Types!BC68</f>
        <v>12210772.207803454</v>
      </c>
      <c r="P61" s="867">
        <f>VMT.VHT.ADT.Trip.Types!BD68</f>
        <v>12282284.349560583</v>
      </c>
      <c r="Q61" s="867">
        <f>VMT.VHT.ADT.Trip.Types!BE68</f>
        <v>12354215.300737102</v>
      </c>
      <c r="R61" s="867">
        <f>VMT.VHT.ADT.Trip.Types!BF68</f>
        <v>12426567.514081953</v>
      </c>
      <c r="S61" s="867">
        <f>VMT.VHT.ADT.Trip.Types!BG68</f>
        <v>12499343.456708552</v>
      </c>
      <c r="T61" s="867">
        <f>VMT.VHT.ADT.Trip.Types!BH68</f>
        <v>12572545.610178908</v>
      </c>
      <c r="U61" s="867">
        <f>VMT.VHT.ADT.Trip.Types!BI68</f>
        <v>12646176.470588248</v>
      </c>
      <c r="V61" s="867">
        <f>VMT.VHT.ADT.Trip.Types!BJ68</f>
        <v>12720238.548650144</v>
      </c>
      <c r="W61" s="867">
        <f>VMT.VHT.ADT.Trip.Types!BK68</f>
        <v>12794734.369782098</v>
      </c>
      <c r="X61" s="870">
        <f>T61</f>
        <v>12572545.610178908</v>
      </c>
      <c r="Y61" s="574" t="s">
        <v>140</v>
      </c>
    </row>
    <row r="62" spans="1:25" ht="15" x14ac:dyDescent="0.25">
      <c r="B62" s="1396" t="s">
        <v>5</v>
      </c>
      <c r="C62" s="867">
        <f>SUM(C58:C61)</f>
        <v>175028441.8300198</v>
      </c>
      <c r="D62" s="867">
        <f t="shared" ref="D62:T62" si="135">SUM(D58:D61)</f>
        <v>176165796.57420051</v>
      </c>
      <c r="E62" s="867">
        <f t="shared" si="135"/>
        <v>177312490.19090673</v>
      </c>
      <c r="F62" s="867">
        <f t="shared" si="135"/>
        <v>178468602.73120102</v>
      </c>
      <c r="G62" s="867">
        <f t="shared" si="135"/>
        <v>179634214.93891481</v>
      </c>
      <c r="H62" s="867">
        <f t="shared" si="135"/>
        <v>180809408.25666627</v>
      </c>
      <c r="I62" s="867">
        <f t="shared" si="135"/>
        <v>181994264.83193076</v>
      </c>
      <c r="J62" s="867">
        <f t="shared" si="135"/>
        <v>183188867.52316394</v>
      </c>
      <c r="K62" s="867">
        <f t="shared" si="135"/>
        <v>184393299.90597826</v>
      </c>
      <c r="L62" s="867">
        <f t="shared" si="135"/>
        <v>185607646.27937338</v>
      </c>
      <c r="M62" s="867">
        <f t="shared" si="135"/>
        <v>186831991.67202058</v>
      </c>
      <c r="N62" s="867">
        <f t="shared" si="135"/>
        <v>188066421.84860206</v>
      </c>
      <c r="O62" s="867">
        <f t="shared" si="135"/>
        <v>189311023.31620517</v>
      </c>
      <c r="P62" s="867">
        <f t="shared" si="135"/>
        <v>190565883.33077306</v>
      </c>
      <c r="Q62" s="867">
        <f t="shared" si="135"/>
        <v>191831089.90361026</v>
      </c>
      <c r="R62" s="867">
        <f t="shared" si="135"/>
        <v>193106731.80794609</v>
      </c>
      <c r="S62" s="867">
        <f t="shared" si="135"/>
        <v>194392898.5855546</v>
      </c>
      <c r="T62" s="867">
        <f t="shared" si="135"/>
        <v>195689680.55343214</v>
      </c>
      <c r="U62" s="867">
        <f t="shared" ref="U62:W62" si="136">SUM(U58:U61)</f>
        <v>196997168.8105334</v>
      </c>
      <c r="V62" s="867">
        <f t="shared" si="136"/>
        <v>198315455.24456584</v>
      </c>
      <c r="W62" s="867">
        <f t="shared" si="136"/>
        <v>199644632.53884327</v>
      </c>
      <c r="X62" s="870">
        <f>X60+X61</f>
        <v>195689680.55343214</v>
      </c>
      <c r="Y62" s="574" t="s">
        <v>5</v>
      </c>
    </row>
    <row r="63" spans="1:25" ht="15" x14ac:dyDescent="0.25">
      <c r="B63" s="864"/>
      <c r="C63" s="867"/>
      <c r="D63" s="867"/>
    </row>
    <row r="64" spans="1:25" ht="21" x14ac:dyDescent="0.35">
      <c r="A64" s="865">
        <v>2</v>
      </c>
      <c r="B64" s="865" t="s">
        <v>639</v>
      </c>
      <c r="C64" s="867"/>
      <c r="D64" s="867"/>
    </row>
    <row r="65" spans="1:25" ht="15.75" x14ac:dyDescent="0.25">
      <c r="B65" s="862" t="s">
        <v>0</v>
      </c>
      <c r="C65" s="869">
        <v>2023</v>
      </c>
      <c r="D65" s="869">
        <v>2024</v>
      </c>
      <c r="E65" s="869">
        <v>2025</v>
      </c>
      <c r="F65" s="869">
        <v>2026</v>
      </c>
      <c r="G65" s="869">
        <v>2027</v>
      </c>
      <c r="H65" s="869">
        <v>2028</v>
      </c>
      <c r="I65" s="869">
        <v>2029</v>
      </c>
      <c r="J65" s="869">
        <v>2030</v>
      </c>
      <c r="K65" s="869">
        <v>2031</v>
      </c>
      <c r="L65" s="869">
        <v>2032</v>
      </c>
      <c r="M65" s="869">
        <v>2033</v>
      </c>
      <c r="N65" s="869">
        <v>2034</v>
      </c>
      <c r="O65" s="869">
        <v>2035</v>
      </c>
      <c r="P65" s="869">
        <v>2036</v>
      </c>
      <c r="Q65" s="869">
        <v>2037</v>
      </c>
      <c r="R65" s="869">
        <v>2038</v>
      </c>
      <c r="S65" s="869">
        <v>2039</v>
      </c>
      <c r="T65" s="869">
        <v>2040</v>
      </c>
      <c r="U65" s="869">
        <v>2041</v>
      </c>
      <c r="V65" s="869">
        <v>2042</v>
      </c>
      <c r="W65" s="869">
        <v>2043</v>
      </c>
    </row>
    <row r="66" spans="1:25" ht="15" x14ac:dyDescent="0.25">
      <c r="B66" s="1397" t="s">
        <v>573</v>
      </c>
      <c r="C66" s="867">
        <f>VMT.VHT.ADT.Trip.Types!AQ73</f>
        <v>93631808.290854678</v>
      </c>
      <c r="D66" s="867">
        <f>VMT.VHT.ADT.Trip.Types!AR73</f>
        <v>94528070.984387234</v>
      </c>
      <c r="E66" s="867">
        <f>VMT.VHT.ADT.Trip.Types!AS73</f>
        <v>95432912.886529341</v>
      </c>
      <c r="F66" s="867">
        <f>VMT.VHT.ADT.Trip.Types!AT73</f>
        <v>96346416.119209006</v>
      </c>
      <c r="G66" s="867">
        <f>VMT.VHT.ADT.Trip.Types!AU73</f>
        <v>97268663.590441957</v>
      </c>
      <c r="H66" s="867">
        <f>VMT.VHT.ADT.Trip.Types!AV73</f>
        <v>98199739.001856357</v>
      </c>
      <c r="I66" s="867">
        <f>VMT.VHT.ADT.Trip.Types!AW73</f>
        <v>99139726.856289297</v>
      </c>
      <c r="J66" s="867">
        <f>VMT.VHT.ADT.Trip.Types!AX73</f>
        <v>100088712.46545625</v>
      </c>
      <c r="K66" s="867">
        <f>VMT.VHT.ADT.Trip.Types!AY73</f>
        <v>101046781.95769368</v>
      </c>
      <c r="L66" s="867">
        <f>VMT.VHT.ADT.Trip.Types!AZ73</f>
        <v>102014022.28577612</v>
      </c>
      <c r="M66" s="867">
        <f>VMT.VHT.ADT.Trip.Types!BA73</f>
        <v>102990521.23480764</v>
      </c>
      <c r="N66" s="867">
        <f>VMT.VHT.ADT.Trip.Types!BB73</f>
        <v>103976367.43018913</v>
      </c>
      <c r="O66" s="867">
        <f>VMT.VHT.ADT.Trip.Types!BC73</f>
        <v>104971650.34566192</v>
      </c>
      <c r="P66" s="867">
        <f>VMT.VHT.ADT.Trip.Types!BD73</f>
        <v>105976460.31142813</v>
      </c>
      <c r="Q66" s="867">
        <f>VMT.VHT.ADT.Trip.Types!BE73</f>
        <v>106990888.52234885</v>
      </c>
      <c r="R66" s="867">
        <f>VMT.VHT.ADT.Trip.Types!BF73</f>
        <v>108015027.04622106</v>
      </c>
      <c r="S66" s="867">
        <f>VMT.VHT.ADT.Trip.Types!BG73</f>
        <v>109048968.83213326</v>
      </c>
      <c r="T66" s="867">
        <f>VMT.VHT.ADT.Trip.Types!BH73</f>
        <v>110092807.71890163</v>
      </c>
      <c r="U66" s="867">
        <f>VMT.VHT.ADT.Trip.Types!BI73</f>
        <v>111146638.44358647</v>
      </c>
      <c r="V66" s="867">
        <f>VMT.VHT.ADT.Trip.Types!BJ73</f>
        <v>112210556.65009053</v>
      </c>
      <c r="W66" s="867">
        <f>VMT.VHT.ADT.Trip.Types!BK73</f>
        <v>113284658.89783938</v>
      </c>
    </row>
    <row r="67" spans="1:25" ht="15" x14ac:dyDescent="0.25">
      <c r="B67" s="1397" t="s">
        <v>574</v>
      </c>
      <c r="C67" s="867">
        <f>VMT.VHT.ADT.Trip.Types!AQ74</f>
        <v>50845777.215390041</v>
      </c>
      <c r="D67" s="867">
        <f>VMT.VHT.ADT.Trip.Types!AR74</f>
        <v>50939103.869951613</v>
      </c>
      <c r="E67" s="867">
        <f>VMT.VHT.ADT.Trip.Types!AS74</f>
        <v>51032601.824175201</v>
      </c>
      <c r="F67" s="867">
        <f>VMT.VHT.ADT.Trip.Types!AT74</f>
        <v>51126271.392478727</v>
      </c>
      <c r="G67" s="867">
        <f>VMT.VHT.ADT.Trip.Types!AU74</f>
        <v>51220112.889857255</v>
      </c>
      <c r="H67" s="867">
        <f>VMT.VHT.ADT.Trip.Types!AV74</f>
        <v>51314126.631883994</v>
      </c>
      <c r="I67" s="867">
        <f>VMT.VHT.ADT.Trip.Types!AW74</f>
        <v>51408312.934711382</v>
      </c>
      <c r="J67" s="867">
        <f>VMT.VHT.ADT.Trip.Types!AX74</f>
        <v>51502672.115072161</v>
      </c>
      <c r="K67" s="867">
        <f>VMT.VHT.ADT.Trip.Types!AY74</f>
        <v>51597204.490280434</v>
      </c>
      <c r="L67" s="867">
        <f>VMT.VHT.ADT.Trip.Types!AZ74</f>
        <v>51691910.378232718</v>
      </c>
      <c r="M67" s="867">
        <f>VMT.VHT.ADT.Trip.Types!BA74</f>
        <v>51786790.097409025</v>
      </c>
      <c r="N67" s="867">
        <f>VMT.VHT.ADT.Trip.Types!BB74</f>
        <v>51881843.966873936</v>
      </c>
      <c r="O67" s="867">
        <f>VMT.VHT.ADT.Trip.Types!BC74</f>
        <v>51977072.306277685</v>
      </c>
      <c r="P67" s="867">
        <f>VMT.VHT.ADT.Trip.Types!BD74</f>
        <v>52072475.435857177</v>
      </c>
      <c r="Q67" s="867">
        <f>VMT.VHT.ADT.Trip.Types!BE74</f>
        <v>52168053.67643714</v>
      </c>
      <c r="R67" s="867">
        <f>VMT.VHT.ADT.Trip.Types!BF74</f>
        <v>52263807.349431187</v>
      </c>
      <c r="S67" s="867">
        <f>VMT.VHT.ADT.Trip.Types!BG74</f>
        <v>52359736.776842847</v>
      </c>
      <c r="T67" s="867">
        <f>VMT.VHT.ADT.Trip.Types!BH74</f>
        <v>52455842.281266697</v>
      </c>
      <c r="U67" s="867">
        <f>VMT.VHT.ADT.Trip.Types!BI74</f>
        <v>52552124.185889415</v>
      </c>
      <c r="V67" s="867">
        <f>VMT.VHT.ADT.Trip.Types!BJ74</f>
        <v>52648582.814490899</v>
      </c>
      <c r="W67" s="867">
        <f>VMT.VHT.ADT.Trip.Types!BK74</f>
        <v>52745218.491445355</v>
      </c>
    </row>
    <row r="68" spans="1:25" ht="15" x14ac:dyDescent="0.25">
      <c r="B68" s="1397" t="s">
        <v>575</v>
      </c>
      <c r="C68" s="867">
        <f>VMT.VHT.ADT.Trip.Types!AQ75</f>
        <v>30821788.083201226</v>
      </c>
      <c r="D68" s="867">
        <f>VMT.VHT.ADT.Trip.Types!AR75</f>
        <v>31113638.741993044</v>
      </c>
      <c r="E68" s="867">
        <f>VMT.VHT.ADT.Trip.Types!AS75</f>
        <v>31408252.92660002</v>
      </c>
      <c r="F68" s="867">
        <f>VMT.VHT.ADT.Trip.Types!AT75</f>
        <v>31705656.804771651</v>
      </c>
      <c r="G68" s="867">
        <f>VMT.VHT.ADT.Trip.Types!AU75</f>
        <v>32005876.792039137</v>
      </c>
      <c r="H68" s="867">
        <f>VMT.VHT.ADT.Trip.Types!AV75</f>
        <v>32308939.554061614</v>
      </c>
      <c r="I68" s="867">
        <f>VMT.VHT.ADT.Trip.Types!AW75</f>
        <v>32614872.008994598</v>
      </c>
      <c r="J68" s="867">
        <f>VMT.VHT.ADT.Trip.Types!AX75</f>
        <v>32923701.329880878</v>
      </c>
      <c r="K68" s="867">
        <f>VMT.VHT.ADT.Trip.Types!AY75</f>
        <v>33235454.947064038</v>
      </c>
      <c r="L68" s="867">
        <f>VMT.VHT.ADT.Trip.Types!AZ75</f>
        <v>33550160.550624818</v>
      </c>
      <c r="M68" s="867">
        <f>VMT.VHT.ADT.Trip.Types!BA75</f>
        <v>33867846.09284059</v>
      </c>
      <c r="N68" s="867">
        <f>VMT.VHT.ADT.Trip.Types!BB75</f>
        <v>34188539.790668026</v>
      </c>
      <c r="O68" s="867">
        <f>VMT.VHT.ADT.Trip.Types!BC75</f>
        <v>34512270.128249407</v>
      </c>
      <c r="P68" s="867">
        <f>VMT.VHT.ADT.Trip.Types!BD75</f>
        <v>34839065.859442584</v>
      </c>
      <c r="Q68" s="867">
        <f>VMT.VHT.ADT.Trip.Types!BE75</f>
        <v>35168956.010374859</v>
      </c>
      <c r="R68" s="867">
        <f>VMT.VHT.ADT.Trip.Types!BF75</f>
        <v>35501969.882021151</v>
      </c>
      <c r="S68" s="867">
        <f>VMT.VHT.ADT.Trip.Types!BG75</f>
        <v>35838137.052806489</v>
      </c>
      <c r="T68" s="867">
        <f>VMT.VHT.ADT.Trip.Types!BH75</f>
        <v>36177487.381233215</v>
      </c>
      <c r="U68" s="867">
        <f>VMT.VHT.ADT.Trip.Types!BI75</f>
        <v>36520051.008532964</v>
      </c>
      <c r="V68" s="867">
        <f>VMT.VHT.ADT.Trip.Types!BJ75</f>
        <v>36865858.36134389</v>
      </c>
      <c r="W68" s="867">
        <f>VMT.VHT.ADT.Trip.Types!BK75</f>
        <v>37214940.154413126</v>
      </c>
      <c r="X68" s="870">
        <f>SUM(T66:T68)</f>
        <v>198726137.38140154</v>
      </c>
      <c r="Y68" s="574" t="s">
        <v>385</v>
      </c>
    </row>
    <row r="69" spans="1:25" ht="15" x14ac:dyDescent="0.25">
      <c r="B69" s="1397" t="s">
        <v>140</v>
      </c>
      <c r="C69" s="867">
        <f>VMT.VHT.ADT.Trip.Types!AQ76</f>
        <v>9827803.9215686265</v>
      </c>
      <c r="D69" s="867">
        <f>VMT.VHT.ADT.Trip.Types!AR76</f>
        <v>10021066.113701904</v>
      </c>
      <c r="E69" s="867">
        <f>VMT.VHT.ADT.Trip.Types!AS76</f>
        <v>10218128.775930662</v>
      </c>
      <c r="F69" s="867">
        <f>VMT.VHT.ADT.Trip.Types!AT76</f>
        <v>10419066.64389143</v>
      </c>
      <c r="G69" s="867">
        <f>VMT.VHT.ADT.Trip.Types!AU76</f>
        <v>10623955.922885079</v>
      </c>
      <c r="H69" s="867">
        <f>VMT.VHT.ADT.Trip.Types!AV76</f>
        <v>10832874.316777535</v>
      </c>
      <c r="I69" s="867">
        <f>VMT.VHT.ADT.Trip.Types!AW76</f>
        <v>11045901.057468807</v>
      </c>
      <c r="J69" s="867">
        <f>VMT.VHT.ADT.Trip.Types!AX76</f>
        <v>11263116.934941564</v>
      </c>
      <c r="K69" s="867">
        <f>VMT.VHT.ADT.Trip.Types!AY76</f>
        <v>11484604.327900538</v>
      </c>
      <c r="L69" s="867">
        <f>VMT.VHT.ADT.Trip.Types!AZ76</f>
        <v>11710447.235014534</v>
      </c>
      <c r="M69" s="867">
        <f>VMT.VHT.ADT.Trip.Types!BA76</f>
        <v>11940731.306772729</v>
      </c>
      <c r="N69" s="867">
        <f>VMT.VHT.ADT.Trip.Types!BB76</f>
        <v>12175543.877967475</v>
      </c>
      <c r="O69" s="867">
        <f>VMT.VHT.ADT.Trip.Types!BC76</f>
        <v>12414974.000815848</v>
      </c>
      <c r="P69" s="867">
        <f>VMT.VHT.ADT.Trip.Types!BD76</f>
        <v>12659112.478732524</v>
      </c>
      <c r="Q69" s="867">
        <f>VMT.VHT.ADT.Trip.Types!BE76</f>
        <v>12908051.900766809</v>
      </c>
      <c r="R69" s="867">
        <f>VMT.VHT.ADT.Trip.Types!BF76</f>
        <v>13161886.676716849</v>
      </c>
      <c r="S69" s="867">
        <f>VMT.VHT.ADT.Trip.Types!BG76</f>
        <v>13420713.072934374</v>
      </c>
      <c r="T69" s="867">
        <f>VMT.VHT.ADT.Trip.Types!BH76</f>
        <v>13684629.248833522</v>
      </c>
      <c r="U69" s="867">
        <f>VMT.VHT.ADT.Trip.Types!BI76</f>
        <v>13953735.294117603</v>
      </c>
      <c r="V69" s="867">
        <f>VMT.VHT.ADT.Trip.Types!BJ76</f>
        <v>14228133.266737944</v>
      </c>
      <c r="W69" s="867">
        <f>VMT.VHT.ADT.Trip.Types!BK76</f>
        <v>14507927.231599147</v>
      </c>
      <c r="X69" s="870">
        <f>T69</f>
        <v>13684629.248833522</v>
      </c>
      <c r="Y69" s="574" t="s">
        <v>140</v>
      </c>
    </row>
    <row r="70" spans="1:25" ht="15" x14ac:dyDescent="0.25">
      <c r="B70" s="1396" t="s">
        <v>5</v>
      </c>
      <c r="C70" s="867">
        <f>SUM(C66:C69)</f>
        <v>185127177.51101458</v>
      </c>
      <c r="D70" s="867">
        <f t="shared" ref="D70" si="137">SUM(D66:D69)</f>
        <v>186601879.7100338</v>
      </c>
      <c r="E70" s="867">
        <f t="shared" ref="E70" si="138">SUM(E66:E69)</f>
        <v>188091896.41323522</v>
      </c>
      <c r="F70" s="867">
        <f t="shared" ref="F70" si="139">SUM(F66:F69)</f>
        <v>189597410.96035081</v>
      </c>
      <c r="G70" s="867">
        <f t="shared" ref="G70" si="140">SUM(G66:G69)</f>
        <v>191118609.19522342</v>
      </c>
      <c r="H70" s="867">
        <f t="shared" ref="H70" si="141">SUM(H66:H69)</f>
        <v>192655679.50457951</v>
      </c>
      <c r="I70" s="867">
        <f t="shared" ref="I70" si="142">SUM(I66:I69)</f>
        <v>194208812.85746408</v>
      </c>
      <c r="J70" s="867">
        <f t="shared" ref="J70" si="143">SUM(J66:J69)</f>
        <v>195778202.84535083</v>
      </c>
      <c r="K70" s="867">
        <f t="shared" ref="K70" si="144">SUM(K66:K69)</f>
        <v>197364045.72293869</v>
      </c>
      <c r="L70" s="867">
        <f t="shared" ref="L70" si="145">SUM(L66:L69)</f>
        <v>198966540.4496482</v>
      </c>
      <c r="M70" s="867">
        <f t="shared" ref="M70" si="146">SUM(M66:M69)</f>
        <v>200585888.73183</v>
      </c>
      <c r="N70" s="867">
        <f t="shared" ref="N70" si="147">SUM(N66:N69)</f>
        <v>202222295.06569856</v>
      </c>
      <c r="O70" s="867">
        <f t="shared" ref="O70" si="148">SUM(O66:O69)</f>
        <v>203875966.78100485</v>
      </c>
      <c r="P70" s="867">
        <f t="shared" ref="P70" si="149">SUM(P66:P69)</f>
        <v>205547114.08546042</v>
      </c>
      <c r="Q70" s="867">
        <f t="shared" ref="Q70" si="150">SUM(Q66:Q69)</f>
        <v>207235950.10992768</v>
      </c>
      <c r="R70" s="867">
        <f t="shared" ref="R70" si="151">SUM(R66:R69)</f>
        <v>208942690.95439023</v>
      </c>
      <c r="S70" s="867">
        <f t="shared" ref="S70" si="152">SUM(S66:S69)</f>
        <v>210667555.73471701</v>
      </c>
      <c r="T70" s="867">
        <f t="shared" ref="T70:W70" si="153">SUM(T66:T69)</f>
        <v>212410766.63023508</v>
      </c>
      <c r="U70" s="867">
        <f t="shared" si="153"/>
        <v>214172548.93212646</v>
      </c>
      <c r="V70" s="867">
        <f t="shared" si="153"/>
        <v>215953131.09266326</v>
      </c>
      <c r="W70" s="867">
        <f t="shared" si="153"/>
        <v>217752744.77529702</v>
      </c>
      <c r="X70" s="870">
        <f>X68+X69</f>
        <v>212410766.63023508</v>
      </c>
      <c r="Y70" s="574" t="s">
        <v>5</v>
      </c>
    </row>
    <row r="71" spans="1:25" ht="15" x14ac:dyDescent="0.25">
      <c r="B71" s="864"/>
      <c r="C71" s="867"/>
      <c r="D71" s="867"/>
    </row>
    <row r="72" spans="1:25" ht="21" x14ac:dyDescent="0.35">
      <c r="A72" s="865">
        <v>3</v>
      </c>
      <c r="B72" s="865" t="s">
        <v>660</v>
      </c>
      <c r="C72" s="867"/>
      <c r="D72" s="867"/>
    </row>
    <row r="73" spans="1:25" ht="15.75" x14ac:dyDescent="0.25">
      <c r="B73" s="862" t="s">
        <v>0</v>
      </c>
      <c r="C73" s="869">
        <v>2023</v>
      </c>
      <c r="D73" s="869">
        <v>2024</v>
      </c>
      <c r="E73" s="869">
        <v>2025</v>
      </c>
      <c r="F73" s="869">
        <v>2026</v>
      </c>
      <c r="G73" s="869">
        <v>2027</v>
      </c>
      <c r="H73" s="869">
        <v>2028</v>
      </c>
      <c r="I73" s="869">
        <v>2029</v>
      </c>
      <c r="J73" s="869">
        <v>2030</v>
      </c>
      <c r="K73" s="869">
        <v>2031</v>
      </c>
      <c r="L73" s="869">
        <v>2032</v>
      </c>
      <c r="M73" s="869">
        <v>2033</v>
      </c>
      <c r="N73" s="869">
        <v>2034</v>
      </c>
      <c r="O73" s="869">
        <v>2035</v>
      </c>
      <c r="P73" s="869">
        <v>2036</v>
      </c>
      <c r="Q73" s="869">
        <v>2037</v>
      </c>
      <c r="R73" s="869">
        <v>2038</v>
      </c>
      <c r="S73" s="869">
        <v>2039</v>
      </c>
      <c r="T73" s="869">
        <v>2040</v>
      </c>
      <c r="U73" s="869">
        <v>2041</v>
      </c>
      <c r="V73" s="869">
        <v>2042</v>
      </c>
      <c r="W73" s="869">
        <v>2043</v>
      </c>
    </row>
    <row r="74" spans="1:25" ht="15" x14ac:dyDescent="0.25">
      <c r="B74" s="1397" t="s">
        <v>573</v>
      </c>
      <c r="C74" s="867">
        <f>VMT.VHT.ADT.Trip.Types!AQ81</f>
        <v>96446324.580816433</v>
      </c>
      <c r="D74" s="867">
        <f>VMT.VHT.ADT.Trip.Types!AR81</f>
        <v>97413008.271002159</v>
      </c>
      <c r="E74" s="867">
        <f>VMT.VHT.ADT.Trip.Types!AS81</f>
        <v>98389381.053653911</v>
      </c>
      <c r="F74" s="867">
        <f>VMT.VHT.ADT.Trip.Types!AT81</f>
        <v>99375540.042764366</v>
      </c>
      <c r="G74" s="867">
        <f>VMT.VHT.ADT.Trip.Types!AU81</f>
        <v>100371583.32570194</v>
      </c>
      <c r="H74" s="867">
        <f>VMT.VHT.ADT.Trip.Types!AV81</f>
        <v>101377609.97296698</v>
      </c>
      <c r="I74" s="867">
        <f>VMT.VHT.ADT.Trip.Types!AW81</f>
        <v>102393720.04804568</v>
      </c>
      <c r="J74" s="867">
        <f>VMT.VHT.ADT.Trip.Types!AX81</f>
        <v>103420014.61736283</v>
      </c>
      <c r="K74" s="867">
        <f>VMT.VHT.ADT.Trip.Types!AY81</f>
        <v>104456595.76033424</v>
      </c>
      <c r="L74" s="867">
        <f>VMT.VHT.ADT.Trip.Types!AZ81</f>
        <v>105503566.57952006</v>
      </c>
      <c r="M74" s="867">
        <f>VMT.VHT.ADT.Trip.Types!BA81</f>
        <v>106561031.21087971</v>
      </c>
      <c r="N74" s="867">
        <f>VMT.VHT.ADT.Trip.Types!BB81</f>
        <v>107629094.83412971</v>
      </c>
      <c r="O74" s="867">
        <f>VMT.VHT.ADT.Trip.Types!BC81</f>
        <v>108707863.68320517</v>
      </c>
      <c r="P74" s="867">
        <f>VMT.VHT.ADT.Trip.Types!BD81</f>
        <v>109797445.05682644</v>
      </c>
      <c r="Q74" s="867">
        <f>VMT.VHT.ADT.Trip.Types!BE81</f>
        <v>110897947.32917129</v>
      </c>
      <c r="R74" s="867">
        <f>VMT.VHT.ADT.Trip.Types!BF81</f>
        <v>112009479.96065439</v>
      </c>
      <c r="S74" s="867">
        <f>VMT.VHT.ADT.Trip.Types!BG81</f>
        <v>113132153.50881453</v>
      </c>
      <c r="T74" s="867">
        <f>VMT.VHT.ADT.Trip.Types!BH81</f>
        <v>114266079.63931128</v>
      </c>
      <c r="U74" s="867">
        <f>VMT.VHT.ADT.Trip.Types!BI81</f>
        <v>115411371.13703163</v>
      </c>
      <c r="V74" s="867">
        <f>VMT.VHT.ADT.Trip.Types!BJ81</f>
        <v>116568141.91730805</v>
      </c>
      <c r="W74" s="867">
        <f>VMT.VHT.ADT.Trip.Types!BK81</f>
        <v>117736507.03724885</v>
      </c>
    </row>
    <row r="75" spans="1:25" ht="15" x14ac:dyDescent="0.25">
      <c r="B75" s="1397" t="s">
        <v>574</v>
      </c>
      <c r="C75" s="867">
        <f>VMT.VHT.ADT.Trip.Types!AQ82</f>
        <v>52355274.142207876</v>
      </c>
      <c r="D75" s="867">
        <f>VMT.VHT.ADT.Trip.Types!AR82</f>
        <v>52475733.507148951</v>
      </c>
      <c r="E75" s="867">
        <f>VMT.VHT.ADT.Trip.Types!AS82</f>
        <v>52596470.025802612</v>
      </c>
      <c r="F75" s="867">
        <f>VMT.VHT.ADT.Trip.Types!AT82</f>
        <v>52717484.335845985</v>
      </c>
      <c r="G75" s="867">
        <f>VMT.VHT.ADT.Trip.Types!AU82</f>
        <v>52838777.076423332</v>
      </c>
      <c r="H75" s="867">
        <f>VMT.VHT.ADT.Trip.Types!AV82</f>
        <v>52960348.888149522</v>
      </c>
      <c r="I75" s="867">
        <f>VMT.VHT.ADT.Trip.Types!AW82</f>
        <v>53082200.413113296</v>
      </c>
      <c r="J75" s="867">
        <f>VMT.VHT.ADT.Trip.Types!AX82</f>
        <v>53204332.29488074</v>
      </c>
      <c r="K75" s="867">
        <f>VMT.VHT.ADT.Trip.Types!AY82</f>
        <v>53326745.178498678</v>
      </c>
      <c r="L75" s="867">
        <f>VMT.VHT.ADT.Trip.Types!AZ82</f>
        <v>53449439.71049805</v>
      </c>
      <c r="M75" s="867">
        <f>VMT.VHT.ADT.Trip.Types!BA82</f>
        <v>53572416.538897313</v>
      </c>
      <c r="N75" s="867">
        <f>VMT.VHT.ADT.Trip.Types!BB82</f>
        <v>53695676.313205928</v>
      </c>
      <c r="O75" s="867">
        <f>VMT.VHT.ADT.Trip.Types!BC82</f>
        <v>53819219.684427746</v>
      </c>
      <c r="P75" s="867">
        <f>VMT.VHT.ADT.Trip.Types!BD82</f>
        <v>53943047.305064417</v>
      </c>
      <c r="Q75" s="867">
        <f>VMT.VHT.ADT.Trip.Types!BE82</f>
        <v>54067159.829118922</v>
      </c>
      <c r="R75" s="867">
        <f>VMT.VHT.ADT.Trip.Types!BF82</f>
        <v>54191557.912098914</v>
      </c>
      <c r="S75" s="867">
        <f>VMT.VHT.ADT.Trip.Types!BG82</f>
        <v>54316242.211020328</v>
      </c>
      <c r="T75" s="867">
        <f>VMT.VHT.ADT.Trip.Types!BH82</f>
        <v>54441213.384410672</v>
      </c>
      <c r="U75" s="867">
        <f>VMT.VHT.ADT.Trip.Types!BI82</f>
        <v>54566472.092312671</v>
      </c>
      <c r="V75" s="867">
        <f>VMT.VHT.ADT.Trip.Types!BJ82</f>
        <v>54692018.996287644</v>
      </c>
      <c r="W75" s="867">
        <f>VMT.VHT.ADT.Trip.Types!BK82</f>
        <v>54817854.759419039</v>
      </c>
    </row>
    <row r="76" spans="1:25" ht="15" x14ac:dyDescent="0.25">
      <c r="B76" s="1397" t="s">
        <v>575</v>
      </c>
      <c r="C76" s="867">
        <f>VMT.VHT.ADT.Trip.Types!AQ83</f>
        <v>31744986.975308243</v>
      </c>
      <c r="D76" s="867">
        <f>VMT.VHT.ADT.Trip.Types!AR83</f>
        <v>32060051.32207986</v>
      </c>
      <c r="E76" s="867">
        <f>VMT.VHT.ADT.Trip.Types!AS83</f>
        <v>32378242.63635296</v>
      </c>
      <c r="F76" s="867">
        <f>VMT.VHT.ADT.Trip.Types!AT83</f>
        <v>32699591.952822052</v>
      </c>
      <c r="G76" s="867">
        <f>VMT.VHT.ADT.Trip.Types!AU83</f>
        <v>33024130.614196457</v>
      </c>
      <c r="H76" s="867">
        <f>VMT.VHT.ADT.Trip.Types!AV83</f>
        <v>33351890.274257284</v>
      </c>
      <c r="I76" s="867">
        <f>VMT.VHT.ADT.Trip.Types!AW83</f>
        <v>33682902.900944799</v>
      </c>
      <c r="J76" s="867">
        <f>VMT.VHT.ADT.Trip.Types!AX83</f>
        <v>34017200.779476374</v>
      </c>
      <c r="K76" s="867">
        <f>VMT.VHT.ADT.Trip.Types!AY83</f>
        <v>34354816.515495449</v>
      </c>
      <c r="L76" s="867">
        <f>VMT.VHT.ADT.Trip.Types!AZ83</f>
        <v>34695783.038251698</v>
      </c>
      <c r="M76" s="867">
        <f>VMT.VHT.ADT.Trip.Types!BA83</f>
        <v>35040133.603812784</v>
      </c>
      <c r="N76" s="867">
        <f>VMT.VHT.ADT.Trip.Types!BB83</f>
        <v>35387901.798307963</v>
      </c>
      <c r="O76" s="867">
        <f>VMT.VHT.ADT.Trip.Types!BC83</f>
        <v>35739121.541203879</v>
      </c>
      <c r="P76" s="867">
        <f>VMT.VHT.ADT.Trip.Types!BD83</f>
        <v>36093827.088612966</v>
      </c>
      <c r="Q76" s="867">
        <f>VMT.VHT.ADT.Trip.Types!BE83</f>
        <v>36452053.03663452</v>
      </c>
      <c r="R76" s="867">
        <f>VMT.VHT.ADT.Trip.Types!BF83</f>
        <v>36813834.32472907</v>
      </c>
      <c r="S76" s="867">
        <f>VMT.VHT.ADT.Trip.Types!BG83</f>
        <v>37179206.239126168</v>
      </c>
      <c r="T76" s="867">
        <f>VMT.VHT.ADT.Trip.Types!BH83</f>
        <v>37548204.416266032</v>
      </c>
      <c r="U76" s="867">
        <f>VMT.VHT.ADT.Trip.Types!BI83</f>
        <v>37920864.846275337</v>
      </c>
      <c r="V76" s="867">
        <f>VMT.VHT.ADT.Trip.Types!BJ83</f>
        <v>38297223.87647748</v>
      </c>
      <c r="W76" s="867">
        <f>VMT.VHT.ADT.Trip.Types!BK83</f>
        <v>38677318.214937732</v>
      </c>
      <c r="X76" s="870">
        <f>SUM(T74:T76)</f>
        <v>206255497.43998799</v>
      </c>
      <c r="Y76" s="574" t="s">
        <v>385</v>
      </c>
    </row>
    <row r="77" spans="1:25" ht="15" x14ac:dyDescent="0.25">
      <c r="B77" s="1397" t="s">
        <v>140</v>
      </c>
      <c r="C77" s="867">
        <f>VMT.VHT.ADT.Trip.Types!AQ84</f>
        <v>10090460.784313725</v>
      </c>
      <c r="D77" s="867">
        <f>VMT.VHT.ADT.Trip.Types!AR84</f>
        <v>10295220.350959849</v>
      </c>
      <c r="E77" s="867">
        <f>VMT.VHT.ADT.Trip.Types!AS84</f>
        <v>10504134.978611542</v>
      </c>
      <c r="F77" s="867">
        <f>VMT.VHT.ADT.Trip.Types!AT84</f>
        <v>10717288.983387666</v>
      </c>
      <c r="G77" s="867">
        <f>VMT.VHT.ADT.Trip.Types!AU84</f>
        <v>10934768.392382665</v>
      </c>
      <c r="H77" s="867">
        <f>VMT.VHT.ADT.Trip.Types!AV84</f>
        <v>11156660.978386337</v>
      </c>
      <c r="I77" s="867">
        <f>VMT.VHT.ADT.Trip.Types!AW84</f>
        <v>11383056.295308176</v>
      </c>
      <c r="J77" s="867">
        <f>VMT.VHT.ADT.Trip.Types!AX84</f>
        <v>11614045.71432055</v>
      </c>
      <c r="K77" s="867">
        <f>VMT.VHT.ADT.Trip.Types!AY84</f>
        <v>11849722.460735288</v>
      </c>
      <c r="L77" s="867">
        <f>VMT.VHT.ADT.Trip.Types!AZ84</f>
        <v>12090181.651628623</v>
      </c>
      <c r="M77" s="867">
        <f>VMT.VHT.ADT.Trip.Types!BA84</f>
        <v>12335520.334229605</v>
      </c>
      <c r="N77" s="867">
        <f>VMT.VHT.ADT.Trip.Types!BB84</f>
        <v>12585837.525087515</v>
      </c>
      <c r="O77" s="867">
        <f>VMT.VHT.ADT.Trip.Types!BC84</f>
        <v>12841234.250034079</v>
      </c>
      <c r="P77" s="867">
        <f>VMT.VHT.ADT.Trip.Types!BD84</f>
        <v>13101813.584956612</v>
      </c>
      <c r="Q77" s="867">
        <f>VMT.VHT.ADT.Trip.Types!BE84</f>
        <v>13367680.69739854</v>
      </c>
      <c r="R77" s="867">
        <f>VMT.VHT.ADT.Trip.Types!BF84</f>
        <v>13638942.889004121</v>
      </c>
      <c r="S77" s="867">
        <f>VMT.VHT.ADT.Trip.Types!BG84</f>
        <v>13915709.638824424</v>
      </c>
      <c r="T77" s="867">
        <f>VMT.VHT.ADT.Trip.Types!BH84</f>
        <v>14198092.647502139</v>
      </c>
      <c r="U77" s="867">
        <f>VMT.VHT.ADT.Trip.Types!BI84</f>
        <v>14486205.882352967</v>
      </c>
      <c r="V77" s="867">
        <f>VMT.VHT.ADT.Trip.Types!BJ84</f>
        <v>14780165.623361848</v>
      </c>
      <c r="W77" s="867">
        <f>VMT.VHT.ADT.Trip.Types!BK84</f>
        <v>15080090.510112535</v>
      </c>
      <c r="X77" s="870">
        <f>T77</f>
        <v>14198092.647502139</v>
      </c>
      <c r="Y77" s="574" t="s">
        <v>140</v>
      </c>
    </row>
    <row r="78" spans="1:25" ht="15" x14ac:dyDescent="0.25">
      <c r="B78" s="1396" t="s">
        <v>5</v>
      </c>
      <c r="C78" s="867">
        <f>SUM(C74:C77)</f>
        <v>190637046.48264629</v>
      </c>
      <c r="D78" s="867">
        <f t="shared" ref="D78" si="154">SUM(D74:D77)</f>
        <v>192244013.4511908</v>
      </c>
      <c r="E78" s="867">
        <f t="shared" ref="E78" si="155">SUM(E74:E77)</f>
        <v>193868228.69442099</v>
      </c>
      <c r="F78" s="867">
        <f t="shared" ref="F78" si="156">SUM(F74:F77)</f>
        <v>195509905.31482008</v>
      </c>
      <c r="G78" s="867">
        <f t="shared" ref="G78" si="157">SUM(G74:G77)</f>
        <v>197169259.40870437</v>
      </c>
      <c r="H78" s="867">
        <f t="shared" ref="H78" si="158">SUM(H74:H77)</f>
        <v>198846510.11376011</v>
      </c>
      <c r="I78" s="867">
        <f t="shared" ref="I78" si="159">SUM(I74:I77)</f>
        <v>200541879.65741196</v>
      </c>
      <c r="J78" s="867">
        <f t="shared" ref="J78" si="160">SUM(J74:J77)</f>
        <v>202255593.40604049</v>
      </c>
      <c r="K78" s="867">
        <f t="shared" ref="K78" si="161">SUM(K74:K77)</f>
        <v>203987879.91506365</v>
      </c>
      <c r="L78" s="867">
        <f t="shared" ref="L78" si="162">SUM(L74:L77)</f>
        <v>205738970.97989842</v>
      </c>
      <c r="M78" s="867">
        <f t="shared" ref="M78" si="163">SUM(M74:M77)</f>
        <v>207509101.68781942</v>
      </c>
      <c r="N78" s="867">
        <f t="shared" ref="N78" si="164">SUM(N74:N77)</f>
        <v>209298510.47073111</v>
      </c>
      <c r="O78" s="867">
        <f t="shared" ref="O78" si="165">SUM(O74:O77)</f>
        <v>211107439.15887088</v>
      </c>
      <c r="P78" s="867">
        <f t="shared" ref="P78" si="166">SUM(P74:P77)</f>
        <v>212936133.03546044</v>
      </c>
      <c r="Q78" s="867">
        <f t="shared" ref="Q78" si="167">SUM(Q74:Q77)</f>
        <v>214784840.89232326</v>
      </c>
      <c r="R78" s="867">
        <f t="shared" ref="R78" si="168">SUM(R74:R77)</f>
        <v>216653815.08648652</v>
      </c>
      <c r="S78" s="867">
        <f t="shared" ref="S78" si="169">SUM(S74:S77)</f>
        <v>218543311.59778547</v>
      </c>
      <c r="T78" s="867">
        <f t="shared" ref="T78:W78" si="170">SUM(T74:T77)</f>
        <v>220453590.08749014</v>
      </c>
      <c r="U78" s="867">
        <f t="shared" si="170"/>
        <v>222384913.95797262</v>
      </c>
      <c r="V78" s="867">
        <f t="shared" si="170"/>
        <v>224337550.41343501</v>
      </c>
      <c r="W78" s="867">
        <f t="shared" si="170"/>
        <v>226311770.52171814</v>
      </c>
      <c r="X78" s="870">
        <f>X76+X77</f>
        <v>220453590.08749014</v>
      </c>
      <c r="Y78" s="574" t="s">
        <v>5</v>
      </c>
    </row>
    <row r="79" spans="1:25" ht="15" x14ac:dyDescent="0.25">
      <c r="B79" s="864"/>
      <c r="C79" s="867"/>
      <c r="D79" s="867"/>
    </row>
  </sheetData>
  <mergeCells count="3">
    <mergeCell ref="C54:T54"/>
    <mergeCell ref="C28:T28"/>
    <mergeCell ref="C2:T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W157"/>
  <sheetViews>
    <sheetView topLeftCell="A70" zoomScale="55" zoomScaleNormal="55" workbookViewId="0"/>
  </sheetViews>
  <sheetFormatPr defaultColWidth="9.109375" defaultRowHeight="14.4" x14ac:dyDescent="0.3"/>
  <cols>
    <col min="1" max="1" width="2.88671875" style="414" customWidth="1"/>
    <col min="2" max="2" width="30.88671875" style="282" customWidth="1"/>
    <col min="3" max="3" width="13.33203125" style="282" customWidth="1"/>
    <col min="4" max="7" width="13.6640625" style="282" customWidth="1"/>
    <col min="8" max="8" width="11.88671875" style="282" customWidth="1"/>
    <col min="9" max="9" width="13.33203125" style="282" customWidth="1"/>
    <col min="10" max="10" width="12.5546875" style="282" customWidth="1"/>
    <col min="11" max="11" width="13.6640625" style="282" customWidth="1"/>
    <col min="12" max="12" width="11.5546875" style="282" customWidth="1"/>
    <col min="13" max="13" width="13" style="282" customWidth="1"/>
    <col min="14" max="16" width="11.109375" style="282" customWidth="1"/>
    <col min="17" max="17" width="11.5546875" style="282" customWidth="1"/>
    <col min="18" max="18" width="12" style="282" customWidth="1"/>
    <col min="19" max="20" width="11.33203125" style="282" customWidth="1"/>
    <col min="21" max="21" width="12.33203125" style="282" customWidth="1"/>
    <col min="22" max="22" width="14" style="282" customWidth="1"/>
    <col min="23" max="26" width="12.5546875" style="282" customWidth="1"/>
    <col min="27" max="27" width="16.109375" style="282" customWidth="1"/>
    <col min="28" max="28" width="19.5546875" style="415" bestFit="1" customWidth="1"/>
    <col min="29" max="29" width="12.6640625" style="415" bestFit="1" customWidth="1"/>
    <col min="30" max="30" width="12.5546875" style="415" bestFit="1" customWidth="1"/>
    <col min="31" max="31" width="9.109375" style="415"/>
    <col min="32" max="47" width="9.109375" style="415" customWidth="1"/>
    <col min="48" max="48" width="9.109375" style="415"/>
    <col min="49" max="49" width="12.6640625" style="415" bestFit="1" customWidth="1"/>
    <col min="50" max="16384" width="9.109375" style="415"/>
  </cols>
  <sheetData>
    <row r="1" spans="1:49" ht="33" customHeight="1" x14ac:dyDescent="0.25"/>
    <row r="2" spans="1:49" ht="21.75" customHeight="1" thickBot="1" x14ac:dyDescent="0.3">
      <c r="A2" s="416"/>
      <c r="B2" s="1011" t="s">
        <v>583</v>
      </c>
      <c r="C2" s="1919" t="s">
        <v>569</v>
      </c>
      <c r="D2" s="1919"/>
      <c r="E2" s="1919"/>
      <c r="F2" s="1919"/>
      <c r="G2" s="1919"/>
      <c r="H2" s="1919"/>
      <c r="I2" s="1919"/>
      <c r="J2" s="1919"/>
      <c r="K2" s="1919"/>
      <c r="L2" s="1919"/>
      <c r="M2" s="1919"/>
      <c r="N2" s="1919"/>
      <c r="O2" s="1919"/>
      <c r="P2" s="1919"/>
      <c r="Q2" s="1919"/>
      <c r="R2" s="1919"/>
      <c r="S2" s="1919"/>
      <c r="T2" s="1919"/>
      <c r="U2" s="1919"/>
      <c r="V2" s="1919"/>
      <c r="W2" s="1919"/>
      <c r="X2" s="1427"/>
      <c r="Y2" s="1427"/>
      <c r="Z2" s="1427"/>
      <c r="AC2" s="1920"/>
      <c r="AD2" s="1920"/>
      <c r="AE2" s="1920"/>
      <c r="AF2" s="1920"/>
      <c r="AG2" s="1920"/>
      <c r="AH2" s="1920"/>
      <c r="AI2" s="1920"/>
      <c r="AJ2" s="1920"/>
      <c r="AK2" s="1920"/>
      <c r="AL2" s="1920"/>
      <c r="AM2" s="1920"/>
      <c r="AN2" s="1920"/>
      <c r="AO2" s="1920"/>
      <c r="AP2" s="1920"/>
      <c r="AQ2" s="1920"/>
      <c r="AR2" s="1920"/>
      <c r="AS2" s="1920"/>
      <c r="AT2" s="1920"/>
      <c r="AU2" s="1920"/>
      <c r="AV2" s="1920"/>
      <c r="AW2" s="1920"/>
    </row>
    <row r="3" spans="1:49" ht="15.75" thickBot="1" x14ac:dyDescent="0.3">
      <c r="A3" s="276"/>
      <c r="C3" s="417">
        <v>2020</v>
      </c>
      <c r="D3" s="417">
        <f>C3+1</f>
        <v>2021</v>
      </c>
      <c r="E3" s="417">
        <f t="shared" ref="E3:Z3" si="0">D3+1</f>
        <v>2022</v>
      </c>
      <c r="F3" s="417">
        <f t="shared" si="0"/>
        <v>2023</v>
      </c>
      <c r="G3" s="417">
        <f t="shared" si="0"/>
        <v>2024</v>
      </c>
      <c r="H3" s="417">
        <f t="shared" si="0"/>
        <v>2025</v>
      </c>
      <c r="I3" s="417">
        <f t="shared" si="0"/>
        <v>2026</v>
      </c>
      <c r="J3" s="417">
        <f t="shared" si="0"/>
        <v>2027</v>
      </c>
      <c r="K3" s="417">
        <f t="shared" si="0"/>
        <v>2028</v>
      </c>
      <c r="L3" s="417">
        <f t="shared" si="0"/>
        <v>2029</v>
      </c>
      <c r="M3" s="417">
        <f t="shared" si="0"/>
        <v>2030</v>
      </c>
      <c r="N3" s="417">
        <f t="shared" si="0"/>
        <v>2031</v>
      </c>
      <c r="O3" s="417">
        <f t="shared" si="0"/>
        <v>2032</v>
      </c>
      <c r="P3" s="417">
        <f t="shared" si="0"/>
        <v>2033</v>
      </c>
      <c r="Q3" s="417">
        <f t="shared" si="0"/>
        <v>2034</v>
      </c>
      <c r="R3" s="417">
        <f t="shared" si="0"/>
        <v>2035</v>
      </c>
      <c r="S3" s="417">
        <f t="shared" si="0"/>
        <v>2036</v>
      </c>
      <c r="T3" s="417">
        <f t="shared" si="0"/>
        <v>2037</v>
      </c>
      <c r="U3" s="417">
        <f t="shared" si="0"/>
        <v>2038</v>
      </c>
      <c r="V3" s="417">
        <f t="shared" si="0"/>
        <v>2039</v>
      </c>
      <c r="W3" s="417">
        <f t="shared" si="0"/>
        <v>2040</v>
      </c>
      <c r="X3" s="417">
        <f t="shared" si="0"/>
        <v>2041</v>
      </c>
      <c r="Y3" s="417">
        <f t="shared" si="0"/>
        <v>2042</v>
      </c>
      <c r="Z3" s="417">
        <f t="shared" si="0"/>
        <v>2043</v>
      </c>
      <c r="AC3" s="435"/>
      <c r="AD3" s="435"/>
      <c r="AE3" s="435"/>
      <c r="AF3" s="435"/>
      <c r="AG3" s="435"/>
      <c r="AH3" s="435"/>
      <c r="AI3" s="435"/>
      <c r="AJ3" s="435"/>
      <c r="AK3" s="435"/>
      <c r="AL3" s="435"/>
      <c r="AM3" s="435"/>
      <c r="AN3" s="435"/>
      <c r="AO3" s="435"/>
      <c r="AP3" s="435"/>
      <c r="AQ3" s="435"/>
      <c r="AR3" s="435"/>
      <c r="AS3" s="435"/>
      <c r="AT3" s="435"/>
      <c r="AU3" s="435"/>
      <c r="AV3" s="435"/>
      <c r="AW3" s="435"/>
    </row>
    <row r="4" spans="1:49" ht="15" x14ac:dyDescent="0.25">
      <c r="A4" s="418"/>
      <c r="B4" s="282" t="s">
        <v>561</v>
      </c>
      <c r="C4" s="421"/>
      <c r="D4" s="420"/>
      <c r="E4" s="420"/>
      <c r="F4" s="420">
        <f>VMT.VHT.ADT.Trip.Tables!C6</f>
        <v>328208471.54129839</v>
      </c>
      <c r="G4" s="420">
        <f>VMT.VHT.ADT.Trip.Tables!D6</f>
        <v>330966672.25379324</v>
      </c>
      <c r="H4" s="420">
        <f>VMT.VHT.ADT.Trip.Tables!E6</f>
        <v>333748052.35326332</v>
      </c>
      <c r="I4" s="420">
        <f>VMT.VHT.ADT.Trip.Tables!F6</f>
        <v>336552806.63480759</v>
      </c>
      <c r="J4" s="420">
        <f>VMT.VHT.ADT.Trip.Tables!G6</f>
        <v>339381131.53054529</v>
      </c>
      <c r="K4" s="420">
        <f>VMT.VHT.ADT.Trip.Tables!H6</f>
        <v>342233225.12337345</v>
      </c>
      <c r="L4" s="420">
        <f>VMT.VHT.ADT.Trip.Tables!I6</f>
        <v>345109287.16083956</v>
      </c>
      <c r="M4" s="420">
        <f>VMT.VHT.ADT.Trip.Tables!J6</f>
        <v>348009519.06913096</v>
      </c>
      <c r="N4" s="420">
        <f>VMT.VHT.ADT.Trip.Tables!K6</f>
        <v>350934123.96718186</v>
      </c>
      <c r="O4" s="420">
        <f>VMT.VHT.ADT.Trip.Tables!L6</f>
        <v>353883306.68089879</v>
      </c>
      <c r="P4" s="420">
        <f>VMT.VHT.ADT.Trip.Tables!M6</f>
        <v>356857273.75750566</v>
      </c>
      <c r="Q4" s="420">
        <f>VMT.VHT.ADT.Trip.Tables!N6</f>
        <v>359856233.48000956</v>
      </c>
      <c r="R4" s="420">
        <f>VMT.VHT.ADT.Trip.Tables!O6</f>
        <v>362880395.88178772</v>
      </c>
      <c r="S4" s="420">
        <f>VMT.VHT.ADT.Trip.Tables!P6</f>
        <v>365929972.76129746</v>
      </c>
      <c r="T4" s="420">
        <f>VMT.VHT.ADT.Trip.Tables!Q6</f>
        <v>369005177.69690943</v>
      </c>
      <c r="U4" s="420">
        <f>VMT.VHT.ADT.Trip.Tables!R6</f>
        <v>372106226.06186557</v>
      </c>
      <c r="V4" s="420">
        <f>VMT.VHT.ADT.Trip.Tables!S6</f>
        <v>375233335.03936327</v>
      </c>
      <c r="W4" s="420">
        <f>VMT.VHT.ADT.Trip.Tables!T6</f>
        <v>378386723.63776565</v>
      </c>
      <c r="X4" s="420">
        <f>VMT.VHT.ADT.Trip.Tables!U6</f>
        <v>381566612.70593965</v>
      </c>
      <c r="Y4" s="420">
        <f>VMT.VHT.ADT.Trip.Tables!V6</f>
        <v>384773224.94872373</v>
      </c>
      <c r="Z4" s="420">
        <f>VMT.VHT.ADT.Trip.Tables!W6</f>
        <v>388006784.94252479</v>
      </c>
      <c r="AA4" s="282">
        <v>384962686.19804621</v>
      </c>
      <c r="AC4" s="436"/>
      <c r="AD4" s="436"/>
      <c r="AE4" s="436"/>
      <c r="AF4" s="436"/>
      <c r="AG4" s="436"/>
      <c r="AH4" s="436"/>
      <c r="AI4" s="436"/>
      <c r="AJ4" s="436"/>
      <c r="AK4" s="436"/>
      <c r="AL4" s="436"/>
      <c r="AM4" s="436"/>
      <c r="AN4" s="436"/>
      <c r="AO4" s="436"/>
      <c r="AP4" s="436"/>
      <c r="AQ4" s="436"/>
      <c r="AR4" s="436"/>
      <c r="AS4" s="436"/>
      <c r="AT4" s="436"/>
      <c r="AU4" s="436"/>
      <c r="AV4" s="436"/>
      <c r="AW4" s="436"/>
    </row>
    <row r="5" spans="1:49" ht="16.5" customHeight="1" x14ac:dyDescent="0.25">
      <c r="A5" s="418"/>
      <c r="B5" s="282" t="s">
        <v>562</v>
      </c>
      <c r="C5" s="421"/>
      <c r="D5" s="420"/>
      <c r="E5" s="420"/>
      <c r="F5" s="420">
        <f>VMT.VHT.ADT.Trip.Tables!C7</f>
        <v>177812159.16264874</v>
      </c>
      <c r="G5" s="420">
        <f>VMT.VHT.ADT.Trip.Tables!D7</f>
        <v>177951687.01386541</v>
      </c>
      <c r="H5" s="420">
        <f>VMT.VHT.ADT.Trip.Tables!E7</f>
        <v>178091324.35152757</v>
      </c>
      <c r="I5" s="420">
        <f>VMT.VHT.ADT.Trip.Tables!F7</f>
        <v>178231071.26154837</v>
      </c>
      <c r="J5" s="420">
        <f>VMT.VHT.ADT.Trip.Tables!G7</f>
        <v>178370927.82990837</v>
      </c>
      <c r="K5" s="420">
        <f>VMT.VHT.ADT.Trip.Tables!H7</f>
        <v>178510894.1426557</v>
      </c>
      <c r="L5" s="420">
        <f>VMT.VHT.ADT.Trip.Tables!I7</f>
        <v>178650970.28590593</v>
      </c>
      <c r="M5" s="420">
        <f>VMT.VHT.ADT.Trip.Tables!J7</f>
        <v>178791156.34584215</v>
      </c>
      <c r="N5" s="420">
        <f>VMT.VHT.ADT.Trip.Tables!K7</f>
        <v>178931452.40871525</v>
      </c>
      <c r="O5" s="420">
        <f>VMT.VHT.ADT.Trip.Tables!L7</f>
        <v>179071858.56084365</v>
      </c>
      <c r="P5" s="420">
        <f>VMT.VHT.ADT.Trip.Tables!M7</f>
        <v>179212374.88861361</v>
      </c>
      <c r="Q5" s="420">
        <f>VMT.VHT.ADT.Trip.Tables!N7</f>
        <v>179353001.47847897</v>
      </c>
      <c r="R5" s="420">
        <f>VMT.VHT.ADT.Trip.Tables!O7</f>
        <v>179493738.4169617</v>
      </c>
      <c r="S5" s="420">
        <f>VMT.VHT.ADT.Trip.Tables!P7</f>
        <v>179634585.79065153</v>
      </c>
      <c r="T5" s="420">
        <f>VMT.VHT.ADT.Trip.Tables!Q7</f>
        <v>179775543.68620604</v>
      </c>
      <c r="U5" s="420">
        <f>VMT.VHT.ADT.Trip.Tables!R7</f>
        <v>179916612.19035089</v>
      </c>
      <c r="V5" s="420">
        <f>VMT.VHT.ADT.Trip.Tables!S7</f>
        <v>180057791.38987991</v>
      </c>
      <c r="W5" s="420">
        <f>VMT.VHT.ADT.Trip.Tables!T7</f>
        <v>180199081.37165487</v>
      </c>
      <c r="X5" s="420">
        <f>VMT.VHT.ADT.Trip.Tables!U7</f>
        <v>180340482.22260574</v>
      </c>
      <c r="Y5" s="420">
        <f>VMT.VHT.ADT.Trip.Tables!V7</f>
        <v>180481994.02973074</v>
      </c>
      <c r="Z5" s="420">
        <f>VMT.VHT.ADT.Trip.Tables!W7</f>
        <v>180623616.88009629</v>
      </c>
      <c r="AA5" s="282">
        <v>180490321.71092224</v>
      </c>
      <c r="AC5" s="436"/>
      <c r="AD5" s="436"/>
      <c r="AE5" s="436"/>
      <c r="AF5" s="436"/>
      <c r="AG5" s="436"/>
      <c r="AH5" s="436"/>
      <c r="AI5" s="436"/>
      <c r="AJ5" s="436"/>
      <c r="AK5" s="436"/>
      <c r="AL5" s="436"/>
      <c r="AM5" s="436"/>
      <c r="AN5" s="436"/>
      <c r="AO5" s="436"/>
      <c r="AP5" s="436"/>
      <c r="AQ5" s="436"/>
      <c r="AR5" s="436"/>
      <c r="AS5" s="436"/>
      <c r="AT5" s="436"/>
      <c r="AU5" s="436"/>
      <c r="AV5" s="436"/>
      <c r="AW5" s="436"/>
    </row>
    <row r="6" spans="1:49" ht="16.5" customHeight="1" x14ac:dyDescent="0.25">
      <c r="A6" s="418"/>
      <c r="B6" s="282" t="s">
        <v>563</v>
      </c>
      <c r="C6" s="421"/>
      <c r="D6" s="420"/>
      <c r="E6" s="420"/>
      <c r="F6" s="420">
        <f>VMT.VHT.ADT.Trip.Tables!C8</f>
        <v>108020089.30769104</v>
      </c>
      <c r="G6" s="420">
        <f>VMT.VHT.ADT.Trip.Tables!D8</f>
        <v>108917038.63514632</v>
      </c>
      <c r="H6" s="420">
        <f>VMT.VHT.ADT.Trip.Tables!E8</f>
        <v>109821435.81883998</v>
      </c>
      <c r="I6" s="420">
        <f>VMT.VHT.ADT.Trip.Tables!F8</f>
        <v>110733342.70235769</v>
      </c>
      <c r="J6" s="420">
        <f>VMT.VHT.ADT.Trip.Tables!G8</f>
        <v>111652821.6428059</v>
      </c>
      <c r="K6" s="420">
        <f>VMT.VHT.ADT.Trip.Tables!H8</f>
        <v>112579935.51507585</v>
      </c>
      <c r="L6" s="420">
        <f>VMT.VHT.ADT.Trip.Tables!I8</f>
        <v>113514747.7161431</v>
      </c>
      <c r="M6" s="420">
        <f>VMT.VHT.ADT.Trip.Tables!J8</f>
        <v>114457322.1694027</v>
      </c>
      <c r="N6" s="420">
        <f>VMT.VHT.ADT.Trip.Tables!K8</f>
        <v>115407723.32904024</v>
      </c>
      <c r="O6" s="420">
        <f>VMT.VHT.ADT.Trip.Tables!L8</f>
        <v>116366016.18443927</v>
      </c>
      <c r="P6" s="420">
        <f>VMT.VHT.ADT.Trip.Tables!M8</f>
        <v>117332266.26462553</v>
      </c>
      <c r="Q6" s="420">
        <f>VMT.VHT.ADT.Trip.Tables!N8</f>
        <v>118306539.64274769</v>
      </c>
      <c r="R6" s="420">
        <f>VMT.VHT.ADT.Trip.Tables!O8</f>
        <v>119288902.94059554</v>
      </c>
      <c r="S6" s="420">
        <f>VMT.VHT.ADT.Trip.Tables!P8</f>
        <v>120279423.33315578</v>
      </c>
      <c r="T6" s="420">
        <f>VMT.VHT.ADT.Trip.Tables!Q8</f>
        <v>121278168.55320533</v>
      </c>
      <c r="U6" s="420">
        <f>VMT.VHT.ADT.Trip.Tables!R8</f>
        <v>122285206.89594311</v>
      </c>
      <c r="V6" s="420">
        <f>VMT.VHT.ADT.Trip.Tables!S8</f>
        <v>123300607.22366008</v>
      </c>
      <c r="W6" s="420">
        <f>VMT.VHT.ADT.Trip.Tables!T8</f>
        <v>124324438.97044809</v>
      </c>
      <c r="X6" s="420">
        <f>VMT.VHT.ADT.Trip.Tables!U8</f>
        <v>125356772.14694786</v>
      </c>
      <c r="Y6" s="420">
        <f>VMT.VHT.ADT.Trip.Tables!V8</f>
        <v>126397677.34513642</v>
      </c>
      <c r="Z6" s="420">
        <f>VMT.VHT.ADT.Trip.Tables!W8</f>
        <v>127447225.74315426</v>
      </c>
      <c r="AA6" s="282">
        <v>126459175.52969654</v>
      </c>
      <c r="AC6" s="436"/>
      <c r="AD6" s="436"/>
      <c r="AE6" s="436"/>
      <c r="AF6" s="436"/>
      <c r="AG6" s="436"/>
      <c r="AH6" s="436"/>
      <c r="AI6" s="436"/>
      <c r="AJ6" s="436"/>
      <c r="AK6" s="436"/>
      <c r="AL6" s="436"/>
      <c r="AM6" s="436"/>
      <c r="AN6" s="436"/>
      <c r="AO6" s="436"/>
      <c r="AP6" s="436"/>
      <c r="AQ6" s="436"/>
      <c r="AR6" s="436"/>
      <c r="AS6" s="436"/>
      <c r="AT6" s="436"/>
      <c r="AU6" s="436"/>
      <c r="AV6" s="436"/>
      <c r="AW6" s="436"/>
    </row>
    <row r="7" spans="1:49" ht="15" x14ac:dyDescent="0.25">
      <c r="A7" s="418"/>
      <c r="B7" s="282" t="s">
        <v>564</v>
      </c>
      <c r="C7" s="421"/>
      <c r="D7" s="420"/>
      <c r="E7" s="420"/>
      <c r="F7" s="420">
        <f>VMT.VHT.ADT.Trip.Tables!C9</f>
        <v>47512403.086307317</v>
      </c>
      <c r="G7" s="420">
        <f>VMT.VHT.ADT.Trip.Tables!D9</f>
        <v>47823729.657975234</v>
      </c>
      <c r="H7" s="420">
        <f>VMT.VHT.ADT.Trip.Tables!E9</f>
        <v>48137096.207163334</v>
      </c>
      <c r="I7" s="420">
        <f>VMT.VHT.ADT.Trip.Tables!F9</f>
        <v>48452516.100890905</v>
      </c>
      <c r="J7" s="420">
        <f>VMT.VHT.ADT.Trip.Tables!G9</f>
        <v>48770002.793765053</v>
      </c>
      <c r="K7" s="420">
        <f>VMT.VHT.ADT.Trip.Tables!H9</f>
        <v>49089569.8285546</v>
      </c>
      <c r="L7" s="420">
        <f>VMT.VHT.ADT.Trip.Tables!I9</f>
        <v>49411230.836767867</v>
      </c>
      <c r="M7" s="420">
        <f>VMT.VHT.ADT.Trip.Tables!J9</f>
        <v>49734999.539234027</v>
      </c>
      <c r="N7" s="420">
        <f>VMT.VHT.ADT.Trip.Tables!K9</f>
        <v>50060889.746688448</v>
      </c>
      <c r="O7" s="420">
        <f>VMT.VHT.ADT.Trip.Tables!L9</f>
        <v>50388915.360361814</v>
      </c>
      <c r="P7" s="420">
        <f>VMT.VHT.ADT.Trip.Tables!M9</f>
        <v>50719090.37257304</v>
      </c>
      <c r="Q7" s="420">
        <f>VMT.VHT.ADT.Trip.Tables!N9</f>
        <v>51051428.867326185</v>
      </c>
      <c r="R7" s="420">
        <f>VMT.VHT.ADT.Trip.Tables!O9</f>
        <v>51385945.020911202</v>
      </c>
      <c r="S7" s="420">
        <f>VMT.VHT.ADT.Trip.Tables!P9</f>
        <v>51722653.102508679</v>
      </c>
      <c r="T7" s="420">
        <f>VMT.VHT.ADT.Trip.Tables!Q9</f>
        <v>52061567.474798411</v>
      </c>
      <c r="U7" s="420">
        <f>VMT.VHT.ADT.Trip.Tables!R9</f>
        <v>52402702.594572172</v>
      </c>
      <c r="V7" s="420">
        <f>VMT.VHT.ADT.Trip.Tables!S9</f>
        <v>52746073.013350315</v>
      </c>
      <c r="W7" s="420">
        <f>VMT.VHT.ADT.Trip.Tables!T9</f>
        <v>53091693.378002509</v>
      </c>
      <c r="X7" s="420">
        <f>VMT.VHT.ADT.Trip.Tables!U9</f>
        <v>53439578.431372523</v>
      </c>
      <c r="Y7" s="420">
        <f>VMT.VHT.ADT.Trip.Tables!V9</f>
        <v>53789743.012907073</v>
      </c>
      <c r="Z7" s="420">
        <f>VMT.VHT.ADT.Trip.Tables!W9</f>
        <v>54142202.059288852</v>
      </c>
      <c r="AA7" s="282">
        <v>53810412.236968167</v>
      </c>
      <c r="AC7" s="436"/>
      <c r="AD7" s="436"/>
      <c r="AE7" s="436"/>
      <c r="AF7" s="436"/>
      <c r="AG7" s="436"/>
      <c r="AH7" s="436"/>
      <c r="AI7" s="436"/>
      <c r="AJ7" s="436"/>
      <c r="AK7" s="436"/>
      <c r="AL7" s="436"/>
      <c r="AM7" s="436"/>
      <c r="AN7" s="436"/>
      <c r="AO7" s="436"/>
      <c r="AP7" s="436"/>
      <c r="AQ7" s="436"/>
      <c r="AR7" s="436"/>
      <c r="AS7" s="436"/>
      <c r="AT7" s="436"/>
      <c r="AU7" s="436"/>
      <c r="AV7" s="436"/>
      <c r="AW7" s="436"/>
    </row>
    <row r="8" spans="1:49" ht="15" x14ac:dyDescent="0.25">
      <c r="A8" s="418"/>
      <c r="B8" s="282" t="s">
        <v>464</v>
      </c>
      <c r="C8" s="419"/>
      <c r="D8" s="420"/>
      <c r="E8" s="420"/>
      <c r="F8" s="420">
        <f>SUM(F4:F7)</f>
        <v>661553123.09794545</v>
      </c>
      <c r="G8" s="420">
        <f t="shared" ref="G8:W8" si="1">SUM(G4:G7)</f>
        <v>665659127.56078017</v>
      </c>
      <c r="H8" s="420">
        <f t="shared" si="1"/>
        <v>669797908.73079419</v>
      </c>
      <c r="I8" s="420">
        <f t="shared" si="1"/>
        <v>673969736.69960451</v>
      </c>
      <c r="J8" s="420">
        <f t="shared" si="1"/>
        <v>678174883.79702461</v>
      </c>
      <c r="K8" s="420">
        <f t="shared" si="1"/>
        <v>682413624.60965955</v>
      </c>
      <c r="L8" s="420">
        <f t="shared" si="1"/>
        <v>686686235.99965656</v>
      </c>
      <c r="M8" s="420">
        <f t="shared" si="1"/>
        <v>690992997.1236099</v>
      </c>
      <c r="N8" s="420">
        <f t="shared" si="1"/>
        <v>695334189.45162582</v>
      </c>
      <c r="O8" s="420">
        <f t="shared" si="1"/>
        <v>699710096.78654349</v>
      </c>
      <c r="P8" s="420">
        <f t="shared" si="1"/>
        <v>704121005.2833178</v>
      </c>
      <c r="Q8" s="420">
        <f t="shared" si="1"/>
        <v>708567203.46856225</v>
      </c>
      <c r="R8" s="420">
        <f t="shared" si="1"/>
        <v>713048982.26025617</v>
      </c>
      <c r="S8" s="420">
        <f t="shared" si="1"/>
        <v>717566634.98761344</v>
      </c>
      <c r="T8" s="420">
        <f t="shared" si="1"/>
        <v>722120457.41111934</v>
      </c>
      <c r="U8" s="420">
        <f t="shared" si="1"/>
        <v>726710747.74273169</v>
      </c>
      <c r="V8" s="420">
        <f t="shared" si="1"/>
        <v>731337806.66625369</v>
      </c>
      <c r="W8" s="420">
        <f t="shared" si="1"/>
        <v>736001937.35787117</v>
      </c>
      <c r="X8" s="420">
        <f t="shared" ref="X8:Z8" si="2">SUM(X4:X7)</f>
        <v>740703445.50686574</v>
      </c>
      <c r="Y8" s="420">
        <f t="shared" si="2"/>
        <v>745442639.3364979</v>
      </c>
      <c r="Z8" s="420">
        <f t="shared" si="2"/>
        <v>750219829.62506425</v>
      </c>
      <c r="AC8" s="436"/>
      <c r="AD8" s="436"/>
      <c r="AE8" s="436"/>
      <c r="AF8" s="436"/>
      <c r="AG8" s="436"/>
      <c r="AH8" s="436"/>
      <c r="AI8" s="436"/>
      <c r="AJ8" s="436"/>
      <c r="AK8" s="436"/>
      <c r="AL8" s="436"/>
      <c r="AM8" s="436"/>
      <c r="AN8" s="436"/>
      <c r="AO8" s="436"/>
      <c r="AP8" s="436"/>
      <c r="AQ8" s="436"/>
      <c r="AR8" s="436"/>
      <c r="AS8" s="436"/>
      <c r="AT8" s="436"/>
      <c r="AU8" s="436"/>
      <c r="AV8" s="436"/>
      <c r="AW8" s="436"/>
    </row>
    <row r="9" spans="1:49" ht="15" x14ac:dyDescent="0.25">
      <c r="D9" s="729"/>
      <c r="E9" s="729"/>
      <c r="F9" s="729"/>
      <c r="G9" s="729"/>
      <c r="H9" s="729"/>
      <c r="I9" s="729"/>
      <c r="J9" s="729"/>
      <c r="K9" s="729"/>
      <c r="L9" s="729"/>
      <c r="M9" s="729"/>
      <c r="N9" s="729"/>
      <c r="O9" s="729"/>
      <c r="P9" s="729"/>
      <c r="Q9" s="729"/>
      <c r="R9" s="729"/>
      <c r="S9" s="729"/>
      <c r="T9" s="729"/>
      <c r="U9" s="729"/>
      <c r="V9" s="729"/>
      <c r="W9" s="420"/>
      <c r="X9" s="420"/>
      <c r="Y9" s="420"/>
      <c r="Z9" s="420"/>
      <c r="AC9" s="434"/>
      <c r="AD9" s="434"/>
      <c r="AE9" s="434"/>
      <c r="AF9" s="434"/>
      <c r="AG9" s="434"/>
      <c r="AH9" s="434"/>
      <c r="AI9" s="434"/>
      <c r="AJ9" s="434"/>
      <c r="AK9" s="434"/>
      <c r="AL9" s="434"/>
      <c r="AM9" s="434"/>
      <c r="AN9" s="434"/>
      <c r="AO9" s="434"/>
      <c r="AP9" s="434"/>
      <c r="AQ9" s="434"/>
      <c r="AR9" s="434"/>
      <c r="AS9" s="434"/>
      <c r="AT9" s="434"/>
      <c r="AU9" s="434"/>
      <c r="AV9" s="434"/>
      <c r="AW9" s="434"/>
    </row>
    <row r="10" spans="1:49" ht="21.75" thickBot="1" x14ac:dyDescent="0.3">
      <c r="B10" s="1011" t="s">
        <v>583</v>
      </c>
      <c r="C10" s="1919" t="s">
        <v>570</v>
      </c>
      <c r="D10" s="1919"/>
      <c r="E10" s="1919"/>
      <c r="F10" s="1919"/>
      <c r="G10" s="1919"/>
      <c r="H10" s="1919"/>
      <c r="I10" s="1919"/>
      <c r="J10" s="1919"/>
      <c r="K10" s="1919"/>
      <c r="L10" s="1919"/>
      <c r="M10" s="1919"/>
      <c r="N10" s="1919"/>
      <c r="O10" s="1919"/>
      <c r="P10" s="1919"/>
      <c r="Q10" s="1919"/>
      <c r="R10" s="1919"/>
      <c r="S10" s="1919"/>
      <c r="T10" s="1919"/>
      <c r="U10" s="1919"/>
      <c r="V10" s="1919"/>
      <c r="W10" s="1919"/>
      <c r="X10" s="1427"/>
      <c r="Y10" s="1427"/>
      <c r="Z10" s="1427"/>
      <c r="AC10" s="434"/>
      <c r="AD10" s="434"/>
      <c r="AE10" s="434"/>
      <c r="AF10" s="434"/>
      <c r="AG10" s="434"/>
      <c r="AH10" s="434"/>
      <c r="AI10" s="434"/>
      <c r="AJ10" s="434"/>
      <c r="AK10" s="434"/>
      <c r="AL10" s="434"/>
      <c r="AM10" s="434"/>
      <c r="AN10" s="434"/>
      <c r="AO10" s="434"/>
      <c r="AP10" s="434"/>
      <c r="AQ10" s="434"/>
      <c r="AR10" s="434"/>
      <c r="AS10" s="434"/>
      <c r="AT10" s="434"/>
      <c r="AU10" s="434"/>
      <c r="AV10" s="434"/>
      <c r="AW10" s="434"/>
    </row>
    <row r="11" spans="1:49" ht="15.75" thickBot="1" x14ac:dyDescent="0.3">
      <c r="C11" s="417">
        <v>2020</v>
      </c>
      <c r="D11" s="417">
        <f>C11+1</f>
        <v>2021</v>
      </c>
      <c r="E11" s="417">
        <f t="shared" ref="E11:W11" si="3">D11+1</f>
        <v>2022</v>
      </c>
      <c r="F11" s="417">
        <f t="shared" si="3"/>
        <v>2023</v>
      </c>
      <c r="G11" s="417">
        <f t="shared" si="3"/>
        <v>2024</v>
      </c>
      <c r="H11" s="417">
        <f t="shared" si="3"/>
        <v>2025</v>
      </c>
      <c r="I11" s="417">
        <f t="shared" si="3"/>
        <v>2026</v>
      </c>
      <c r="J11" s="417">
        <f t="shared" si="3"/>
        <v>2027</v>
      </c>
      <c r="K11" s="417">
        <f t="shared" si="3"/>
        <v>2028</v>
      </c>
      <c r="L11" s="417">
        <f t="shared" si="3"/>
        <v>2029</v>
      </c>
      <c r="M11" s="417">
        <f t="shared" si="3"/>
        <v>2030</v>
      </c>
      <c r="N11" s="417">
        <f t="shared" si="3"/>
        <v>2031</v>
      </c>
      <c r="O11" s="417">
        <f t="shared" si="3"/>
        <v>2032</v>
      </c>
      <c r="P11" s="417">
        <f t="shared" si="3"/>
        <v>2033</v>
      </c>
      <c r="Q11" s="417">
        <f t="shared" si="3"/>
        <v>2034</v>
      </c>
      <c r="R11" s="417">
        <f t="shared" si="3"/>
        <v>2035</v>
      </c>
      <c r="S11" s="417">
        <f t="shared" si="3"/>
        <v>2036</v>
      </c>
      <c r="T11" s="417">
        <f t="shared" si="3"/>
        <v>2037</v>
      </c>
      <c r="U11" s="417">
        <f t="shared" si="3"/>
        <v>2038</v>
      </c>
      <c r="V11" s="417">
        <f t="shared" si="3"/>
        <v>2039</v>
      </c>
      <c r="W11" s="417">
        <f t="shared" si="3"/>
        <v>2040</v>
      </c>
      <c r="X11" s="417">
        <f t="shared" ref="X11:Z11" si="4">W11+1</f>
        <v>2041</v>
      </c>
      <c r="Y11" s="417">
        <f t="shared" si="4"/>
        <v>2042</v>
      </c>
      <c r="Z11" s="417">
        <f t="shared" si="4"/>
        <v>2043</v>
      </c>
      <c r="AC11" s="434"/>
      <c r="AD11" s="434"/>
      <c r="AE11" s="434"/>
      <c r="AF11" s="434"/>
      <c r="AG11" s="434"/>
      <c r="AH11" s="434"/>
      <c r="AI11" s="434"/>
      <c r="AJ11" s="434"/>
      <c r="AK11" s="434"/>
      <c r="AL11" s="434"/>
      <c r="AM11" s="434"/>
      <c r="AN11" s="434"/>
      <c r="AO11" s="434"/>
      <c r="AP11" s="434"/>
      <c r="AQ11" s="434"/>
      <c r="AR11" s="434"/>
      <c r="AS11" s="434"/>
      <c r="AT11" s="434"/>
      <c r="AU11" s="434"/>
      <c r="AV11" s="434"/>
      <c r="AW11" s="434"/>
    </row>
    <row r="12" spans="1:49" ht="15" x14ac:dyDescent="0.25">
      <c r="B12" s="282" t="s">
        <v>565</v>
      </c>
      <c r="C12" s="421"/>
      <c r="D12" s="420"/>
      <c r="E12" s="420"/>
      <c r="F12" s="420">
        <f>VMT.VHT.ADT.Trip.Tables!C32</f>
        <v>8454311.3437231276</v>
      </c>
      <c r="G12" s="420">
        <f>VMT.VHT.ADT.Trip.Tables!D32</f>
        <v>8797585.2005785722</v>
      </c>
      <c r="H12" s="420">
        <f>VMT.VHT.ADT.Trip.Tables!E32</f>
        <v>9154797.1460623574</v>
      </c>
      <c r="I12" s="420">
        <f>VMT.VHT.ADT.Trip.Tables!F32</f>
        <v>9526513.1140804105</v>
      </c>
      <c r="J12" s="420">
        <f>VMT.VHT.ADT.Trip.Tables!G32</f>
        <v>9913322.0173842013</v>
      </c>
      <c r="K12" s="420">
        <f>VMT.VHT.ADT.Trip.Tables!H32</f>
        <v>10315836.680590212</v>
      </c>
      <c r="L12" s="420">
        <f>VMT.VHT.ADT.Trip.Tables!I32</f>
        <v>10734694.811083145</v>
      </c>
      <c r="M12" s="420">
        <f>VMT.VHT.ADT.Trip.Tables!J32</f>
        <v>11170560.009341132</v>
      </c>
      <c r="N12" s="420">
        <f>VMT.VHT.ADT.Trip.Tables!K32</f>
        <v>11624122.820283584</v>
      </c>
      <c r="O12" s="420">
        <f>VMT.VHT.ADT.Trip.Tables!L32</f>
        <v>12096101.827307342</v>
      </c>
      <c r="P12" s="420">
        <f>VMT.VHT.ADT.Trip.Tables!M32</f>
        <v>12587244.790744431</v>
      </c>
      <c r="Q12" s="420">
        <f>VMT.VHT.ADT.Trip.Tables!N32</f>
        <v>13098329.832545079</v>
      </c>
      <c r="R12" s="420">
        <f>VMT.VHT.ADT.Trip.Tables!O32</f>
        <v>13630166.669062907</v>
      </c>
      <c r="S12" s="420">
        <f>VMT.VHT.ADT.Trip.Tables!P32</f>
        <v>14183597.893895378</v>
      </c>
      <c r="T12" s="420">
        <f>VMT.VHT.ADT.Trip.Tables!Q32</f>
        <v>14759500.312811982</v>
      </c>
      <c r="U12" s="420">
        <f>VMT.VHT.ADT.Trip.Tables!R32</f>
        <v>15358786.33288501</v>
      </c>
      <c r="V12" s="420">
        <f>VMT.VHT.ADT.Trip.Tables!S32</f>
        <v>15982405.408023814</v>
      </c>
      <c r="W12" s="420">
        <f>VMT.VHT.ADT.Trip.Tables!T32</f>
        <v>16631345.54320265</v>
      </c>
      <c r="X12" s="420">
        <f>VMT.VHT.ADT.Trip.Tables!U32</f>
        <v>17306634.859765317</v>
      </c>
      <c r="Y12" s="420">
        <f>VMT.VHT.ADT.Trip.Tables!V32</f>
        <v>18009343.224286493</v>
      </c>
      <c r="Z12" s="420">
        <f>VMT.VHT.ADT.Trip.Tables!W32</f>
        <v>18740583.943570413</v>
      </c>
      <c r="AA12" s="282">
        <v>18051556.460467089</v>
      </c>
      <c r="AC12" s="434"/>
      <c r="AD12" s="434"/>
      <c r="AE12" s="434"/>
      <c r="AF12" s="434"/>
      <c r="AG12" s="434"/>
      <c r="AH12" s="434"/>
      <c r="AI12" s="434"/>
      <c r="AJ12" s="434"/>
      <c r="AK12" s="434"/>
      <c r="AL12" s="434"/>
      <c r="AM12" s="434"/>
      <c r="AN12" s="434"/>
      <c r="AO12" s="434"/>
      <c r="AP12" s="434"/>
      <c r="AQ12" s="434"/>
      <c r="AR12" s="434"/>
      <c r="AS12" s="434"/>
      <c r="AT12" s="434"/>
      <c r="AU12" s="434"/>
      <c r="AV12" s="434"/>
      <c r="AW12" s="434"/>
    </row>
    <row r="13" spans="1:49" ht="15" x14ac:dyDescent="0.25">
      <c r="B13" s="282" t="s">
        <v>566</v>
      </c>
      <c r="C13" s="421"/>
      <c r="D13" s="420"/>
      <c r="E13" s="420"/>
      <c r="F13" s="420">
        <f>VMT.VHT.ADT.Trip.Tables!C33</f>
        <v>4583222.1375105102</v>
      </c>
      <c r="G13" s="420">
        <f>VMT.VHT.ADT.Trip.Tables!D33</f>
        <v>4733143.2525839452</v>
      </c>
      <c r="H13" s="420">
        <f>VMT.VHT.ADT.Trip.Tables!E33</f>
        <v>4887968.4155238168</v>
      </c>
      <c r="I13" s="420">
        <f>VMT.VHT.ADT.Trip.Tables!F33</f>
        <v>5047858.0419291193</v>
      </c>
      <c r="J13" s="420">
        <f>VMT.VHT.ADT.Trip.Tables!G33</f>
        <v>5212977.7947302526</v>
      </c>
      <c r="K13" s="420">
        <f>VMT.VHT.ADT.Trip.Tables!H33</f>
        <v>5383498.7558337282</v>
      </c>
      <c r="L13" s="420">
        <f>VMT.VHT.ADT.Trip.Tables!I33</f>
        <v>5559597.6033815024</v>
      </c>
      <c r="M13" s="420">
        <f>VMT.VHT.ADT.Trip.Tables!J33</f>
        <v>5741456.7948086252</v>
      </c>
      <c r="N13" s="420">
        <f>VMT.VHT.ADT.Trip.Tables!K33</f>
        <v>5929264.7558888635</v>
      </c>
      <c r="O13" s="420">
        <f>VMT.VHT.ADT.Trip.Tables!L33</f>
        <v>6123216.0759641584</v>
      </c>
      <c r="P13" s="420">
        <f>VMT.VHT.ADT.Trip.Tables!M33</f>
        <v>6323511.7095602127</v>
      </c>
      <c r="Q13" s="420">
        <f>VMT.VHT.ADT.Trip.Tables!N33</f>
        <v>6530359.1845970955</v>
      </c>
      <c r="R13" s="420">
        <f>VMT.VHT.ADT.Trip.Tables!O33</f>
        <v>6743972.8174105892</v>
      </c>
      <c r="S13" s="420">
        <f>VMT.VHT.ADT.Trip.Tables!P33</f>
        <v>6964573.9348070761</v>
      </c>
      <c r="T13" s="420">
        <f>VMT.VHT.ADT.Trip.Tables!Q33</f>
        <v>7192391.103382024</v>
      </c>
      <c r="U13" s="420">
        <f>VMT.VHT.ADT.Trip.Tables!R33</f>
        <v>7427660.3663396742</v>
      </c>
      <c r="V13" s="420">
        <f>VMT.VHT.ADT.Trip.Tables!S33</f>
        <v>7670625.4880593168</v>
      </c>
      <c r="W13" s="420">
        <f>VMT.VHT.ADT.Trip.Tables!T33</f>
        <v>7921538.2066615205</v>
      </c>
      <c r="X13" s="420">
        <f>VMT.VHT.ADT.Trip.Tables!U33</f>
        <v>8180658.4948360296</v>
      </c>
      <c r="Y13" s="420">
        <f>VMT.VHT.ADT.Trip.Tables!V33</f>
        <v>8448254.8292015679</v>
      </c>
      <c r="Z13" s="420">
        <f>VMT.VHT.ADT.Trip.Tables!W33</f>
        <v>8724604.4684766121</v>
      </c>
      <c r="AA13" s="282">
        <v>8464265.630463155</v>
      </c>
      <c r="AC13" s="434"/>
      <c r="AD13" s="434"/>
      <c r="AE13" s="434"/>
      <c r="AF13" s="434"/>
      <c r="AG13" s="434"/>
      <c r="AH13" s="434"/>
      <c r="AI13" s="434"/>
      <c r="AJ13" s="434"/>
      <c r="AK13" s="434"/>
      <c r="AL13" s="434"/>
      <c r="AM13" s="434"/>
      <c r="AN13" s="434"/>
      <c r="AO13" s="434"/>
      <c r="AP13" s="434"/>
      <c r="AQ13" s="434"/>
      <c r="AR13" s="434"/>
      <c r="AS13" s="434"/>
      <c r="AT13" s="434"/>
      <c r="AU13" s="434"/>
      <c r="AV13" s="434"/>
      <c r="AW13" s="434"/>
    </row>
    <row r="14" spans="1:49" ht="15" x14ac:dyDescent="0.25">
      <c r="B14" s="282" t="s">
        <v>567</v>
      </c>
      <c r="C14" s="421"/>
      <c r="D14" s="420"/>
      <c r="E14" s="420"/>
      <c r="F14" s="420">
        <f>VMT.VHT.ADT.Trip.Tables!C34</f>
        <v>2782560.6125391289</v>
      </c>
      <c r="G14" s="420">
        <f>VMT.VHT.ADT.Trip.Tables!D34</f>
        <v>2895256.4460825352</v>
      </c>
      <c r="H14" s="420">
        <f>VMT.VHT.ADT.Trip.Tables!E34</f>
        <v>3012516.5470998683</v>
      </c>
      <c r="I14" s="420">
        <f>VMT.VHT.ADT.Trip.Tables!F34</f>
        <v>3134525.7719156127</v>
      </c>
      <c r="J14" s="420">
        <f>VMT.VHT.ADT.Trip.Tables!G34</f>
        <v>3261476.4636768154</v>
      </c>
      <c r="K14" s="420">
        <f>VMT.VHT.ADT.Trip.Tables!H34</f>
        <v>3393568.755575126</v>
      </c>
      <c r="L14" s="420">
        <f>VMT.VHT.ADT.Trip.Tables!I34</f>
        <v>3531010.8863495621</v>
      </c>
      <c r="M14" s="420">
        <f>VMT.VHT.ADT.Trip.Tables!J34</f>
        <v>3674019.5285673812</v>
      </c>
      <c r="N14" s="420">
        <f>VMT.VHT.ADT.Trip.Tables!K34</f>
        <v>3822820.1302005765</v>
      </c>
      <c r="O14" s="420">
        <f>VMT.VHT.ADT.Trip.Tables!L34</f>
        <v>3977647.2700364771</v>
      </c>
      <c r="P14" s="420">
        <f>VMT.VHT.ADT.Trip.Tables!M34</f>
        <v>4138745.027482762</v>
      </c>
      <c r="Q14" s="420">
        <f>VMT.VHT.ADT.Trip.Tables!N34</f>
        <v>4306367.3673498463</v>
      </c>
      <c r="R14" s="420">
        <f>VMT.VHT.ADT.Trip.Tables!O34</f>
        <v>4480778.540217259</v>
      </c>
      <c r="S14" s="420">
        <f>VMT.VHT.ADT.Trip.Tables!P34</f>
        <v>4662253.4990151562</v>
      </c>
      <c r="T14" s="420">
        <f>VMT.VHT.ADT.Trip.Tables!Q34</f>
        <v>4851078.3324777139</v>
      </c>
      <c r="U14" s="420">
        <f>VMT.VHT.ADT.Trip.Tables!R34</f>
        <v>5047550.7161517069</v>
      </c>
      <c r="V14" s="420">
        <f>VMT.VHT.ADT.Trip.Tables!S34</f>
        <v>5251980.381671289</v>
      </c>
      <c r="W14" s="420">
        <f>VMT.VHT.ADT.Trip.Tables!T34</f>
        <v>5464689.6050387416</v>
      </c>
      <c r="X14" s="420">
        <f>VMT.VHT.ADT.Trip.Tables!U34</f>
        <v>5686013.7146809958</v>
      </c>
      <c r="Y14" s="420">
        <f>VMT.VHT.ADT.Trip.Tables!V34</f>
        <v>5916301.6200828049</v>
      </c>
      <c r="Z14" s="420">
        <f>VMT.VHT.ADT.Trip.Tables!W34</f>
        <v>6155916.3618299849</v>
      </c>
      <c r="AA14" s="282">
        <v>5930134.802865996</v>
      </c>
      <c r="AC14" s="434"/>
      <c r="AD14" s="434"/>
      <c r="AE14" s="434"/>
      <c r="AF14" s="434"/>
      <c r="AG14" s="434"/>
      <c r="AH14" s="434"/>
      <c r="AI14" s="434"/>
      <c r="AJ14" s="434"/>
      <c r="AK14" s="434"/>
      <c r="AL14" s="434"/>
      <c r="AM14" s="434"/>
      <c r="AN14" s="434"/>
      <c r="AO14" s="434"/>
      <c r="AP14" s="434"/>
      <c r="AQ14" s="434"/>
      <c r="AR14" s="434"/>
      <c r="AS14" s="434"/>
      <c r="AT14" s="434"/>
      <c r="AU14" s="434"/>
      <c r="AV14" s="434"/>
      <c r="AW14" s="434"/>
    </row>
    <row r="15" spans="1:49" ht="15" x14ac:dyDescent="0.25">
      <c r="B15" s="282" t="s">
        <v>568</v>
      </c>
      <c r="C15" s="421"/>
      <c r="D15" s="420"/>
      <c r="E15" s="420"/>
      <c r="F15" s="420">
        <f>VMT.VHT.ADT.Trip.Tables!C35</f>
        <v>1229752.7639351764</v>
      </c>
      <c r="G15" s="420">
        <f>VMT.VHT.ADT.Trip.Tables!D35</f>
        <v>1279081.0264611747</v>
      </c>
      <c r="H15" s="420">
        <f>VMT.VHT.ADT.Trip.Tables!E35</f>
        <v>1330387.9610871221</v>
      </c>
      <c r="I15" s="420">
        <f>VMT.VHT.ADT.Trip.Tables!F35</f>
        <v>1383752.936983523</v>
      </c>
      <c r="J15" s="420">
        <f>VMT.VHT.ADT.Trip.Tables!G35</f>
        <v>1439258.5070041344</v>
      </c>
      <c r="K15" s="420">
        <f>VMT.VHT.ADT.Trip.Tables!H35</f>
        <v>1496990.5353909545</v>
      </c>
      <c r="L15" s="420">
        <f>VMT.VHT.ADT.Trip.Tables!I35</f>
        <v>1557038.3306017588</v>
      </c>
      <c r="M15" s="420">
        <f>VMT.VHT.ADT.Trip.Tables!J35</f>
        <v>1619494.7834656565</v>
      </c>
      <c r="N15" s="420">
        <f>VMT.VHT.ADT.Trip.Tables!K35</f>
        <v>1684456.5108803955</v>
      </c>
      <c r="O15" s="420">
        <f>VMT.VHT.ADT.Trip.Tables!L35</f>
        <v>1752024.0052736956</v>
      </c>
      <c r="P15" s="420">
        <f>VMT.VHT.ADT.Trip.Tables!M35</f>
        <v>1822301.7900598312</v>
      </c>
      <c r="Q15" s="420">
        <f>VMT.VHT.ADT.Trip.Tables!N35</f>
        <v>1895398.5813319392</v>
      </c>
      <c r="R15" s="420">
        <f>VMT.VHT.ADT.Trip.Tables!O35</f>
        <v>1971427.4560401854</v>
      </c>
      <c r="S15" s="420">
        <f>VMT.VHT.ADT.Trip.Tables!P35</f>
        <v>2050506.0269159463</v>
      </c>
      <c r="T15" s="420">
        <f>VMT.VHT.ADT.Trip.Tables!Q35</f>
        <v>2132756.6244126181</v>
      </c>
      <c r="U15" s="420">
        <f>VMT.VHT.ADT.Trip.Tables!R35</f>
        <v>2218306.4859444867</v>
      </c>
      <c r="V15" s="420">
        <f>VMT.VHT.ADT.Trip.Tables!S35</f>
        <v>2307287.9527164232</v>
      </c>
      <c r="W15" s="420">
        <f>VMT.VHT.ADT.Trip.Tables!T35</f>
        <v>2399838.6744488673</v>
      </c>
      <c r="X15" s="420">
        <f>VMT.VHT.ADT.Trip.Tables!U35</f>
        <v>2496101.8223148207</v>
      </c>
      <c r="Y15" s="420">
        <f>VMT.VHT.ADT.Trip.Tables!V35</f>
        <v>2596226.3104182351</v>
      </c>
      <c r="Z15" s="420">
        <f>VMT.VHT.ADT.Trip.Tables!W35</f>
        <v>2700367.0261564157</v>
      </c>
      <c r="AA15" s="282">
        <v>2602239.5150069264</v>
      </c>
      <c r="AC15" s="434"/>
      <c r="AD15" s="434"/>
      <c r="AE15" s="434"/>
      <c r="AF15" s="434"/>
      <c r="AG15" s="434"/>
      <c r="AH15" s="434"/>
      <c r="AI15" s="434"/>
      <c r="AJ15" s="434"/>
      <c r="AK15" s="434"/>
      <c r="AL15" s="434"/>
      <c r="AM15" s="434"/>
      <c r="AN15" s="434"/>
      <c r="AO15" s="434"/>
      <c r="AP15" s="434"/>
      <c r="AQ15" s="434"/>
      <c r="AR15" s="434"/>
      <c r="AS15" s="434"/>
      <c r="AT15" s="434"/>
      <c r="AU15" s="434"/>
      <c r="AV15" s="434"/>
      <c r="AW15" s="434"/>
    </row>
    <row r="16" spans="1:49" ht="15" x14ac:dyDescent="0.25">
      <c r="B16" s="282" t="s">
        <v>465</v>
      </c>
      <c r="C16" s="419"/>
      <c r="D16" s="420"/>
      <c r="E16" s="420"/>
      <c r="F16" s="420">
        <f t="shared" ref="F16:W16" si="5">SUM(F12:F15)</f>
        <v>17049846.857707944</v>
      </c>
      <c r="G16" s="420">
        <f t="shared" si="5"/>
        <v>17705065.92570623</v>
      </c>
      <c r="H16" s="420">
        <f t="shared" si="5"/>
        <v>18385670.069773167</v>
      </c>
      <c r="I16" s="420">
        <f t="shared" si="5"/>
        <v>19092649.864908662</v>
      </c>
      <c r="J16" s="420">
        <f t="shared" si="5"/>
        <v>19827034.782795403</v>
      </c>
      <c r="K16" s="420">
        <f t="shared" si="5"/>
        <v>20589894.727390021</v>
      </c>
      <c r="L16" s="420">
        <f t="shared" si="5"/>
        <v>21382341.631415971</v>
      </c>
      <c r="M16" s="420">
        <f t="shared" si="5"/>
        <v>22205531.116182797</v>
      </c>
      <c r="N16" s="420">
        <f t="shared" si="5"/>
        <v>23060664.217253421</v>
      </c>
      <c r="O16" s="420">
        <f t="shared" si="5"/>
        <v>23948989.178581674</v>
      </c>
      <c r="P16" s="420">
        <f t="shared" si="5"/>
        <v>24871803.317847237</v>
      </c>
      <c r="Q16" s="420">
        <f t="shared" si="5"/>
        <v>25830454.965823963</v>
      </c>
      <c r="R16" s="420">
        <f t="shared" si="5"/>
        <v>26826345.48273094</v>
      </c>
      <c r="S16" s="420">
        <f t="shared" si="5"/>
        <v>27860931.354633555</v>
      </c>
      <c r="T16" s="420">
        <f t="shared" si="5"/>
        <v>28935726.37308434</v>
      </c>
      <c r="U16" s="420">
        <f t="shared" si="5"/>
        <v>30052303.901320878</v>
      </c>
      <c r="V16" s="420">
        <f t="shared" si="5"/>
        <v>31212299.230470844</v>
      </c>
      <c r="W16" s="420">
        <f t="shared" si="5"/>
        <v>32417412.029351775</v>
      </c>
      <c r="X16" s="420">
        <f t="shared" ref="X16:Z16" si="6">SUM(X12:X15)</f>
        <v>33669408.891597159</v>
      </c>
      <c r="Y16" s="420">
        <f t="shared" si="6"/>
        <v>34970125.983989097</v>
      </c>
      <c r="Z16" s="420">
        <f t="shared" si="6"/>
        <v>36321471.800033428</v>
      </c>
      <c r="AC16" s="434"/>
      <c r="AD16" s="434"/>
      <c r="AE16" s="434"/>
      <c r="AF16" s="434"/>
      <c r="AG16" s="434"/>
      <c r="AH16" s="434"/>
      <c r="AI16" s="434"/>
      <c r="AJ16" s="434"/>
      <c r="AK16" s="434"/>
      <c r="AL16" s="434"/>
      <c r="AM16" s="434"/>
      <c r="AN16" s="434"/>
      <c r="AO16" s="434"/>
      <c r="AP16" s="434"/>
      <c r="AQ16" s="434"/>
      <c r="AR16" s="434"/>
      <c r="AS16" s="434"/>
      <c r="AT16" s="434"/>
      <c r="AU16" s="434"/>
      <c r="AV16" s="434"/>
      <c r="AW16" s="434"/>
    </row>
    <row r="17" spans="2:49" ht="15" x14ac:dyDescent="0.25">
      <c r="D17" s="729"/>
      <c r="E17" s="729"/>
      <c r="F17" s="729"/>
      <c r="G17" s="729"/>
      <c r="H17" s="729"/>
      <c r="I17" s="729"/>
      <c r="J17" s="729"/>
      <c r="K17" s="729"/>
      <c r="L17" s="729"/>
      <c r="M17" s="729"/>
      <c r="N17" s="729"/>
      <c r="O17" s="729"/>
      <c r="P17" s="729"/>
      <c r="Q17" s="729"/>
      <c r="R17" s="729"/>
      <c r="S17" s="729"/>
      <c r="T17" s="729"/>
      <c r="U17" s="729"/>
      <c r="V17" s="729"/>
      <c r="W17" s="420"/>
      <c r="X17" s="420"/>
      <c r="Y17" s="420"/>
      <c r="Z17" s="420"/>
      <c r="AC17" s="434"/>
      <c r="AD17" s="434"/>
      <c r="AE17" s="434"/>
      <c r="AF17" s="434"/>
      <c r="AG17" s="434"/>
      <c r="AH17" s="434"/>
      <c r="AI17" s="434"/>
      <c r="AJ17" s="434"/>
      <c r="AK17" s="434"/>
      <c r="AL17" s="434"/>
      <c r="AM17" s="434"/>
      <c r="AN17" s="434"/>
      <c r="AO17" s="434"/>
      <c r="AP17" s="434"/>
      <c r="AQ17" s="434"/>
      <c r="AR17" s="434"/>
      <c r="AS17" s="434"/>
      <c r="AT17" s="434"/>
      <c r="AU17" s="434"/>
      <c r="AV17" s="434"/>
      <c r="AW17" s="434"/>
    </row>
    <row r="18" spans="2:49" ht="21.75" thickBot="1" x14ac:dyDescent="0.3">
      <c r="B18" s="1011" t="s">
        <v>583</v>
      </c>
      <c r="C18" s="1919" t="s">
        <v>934</v>
      </c>
      <c r="D18" s="1919"/>
      <c r="E18" s="1919"/>
      <c r="F18" s="1919"/>
      <c r="G18" s="1919"/>
      <c r="H18" s="1919"/>
      <c r="I18" s="1919"/>
      <c r="J18" s="1919"/>
      <c r="K18" s="1919"/>
      <c r="L18" s="1919"/>
      <c r="M18" s="1919"/>
      <c r="N18" s="1919"/>
      <c r="O18" s="1919"/>
      <c r="P18" s="1919"/>
      <c r="Q18" s="1919"/>
      <c r="R18" s="1919"/>
      <c r="S18" s="1919"/>
      <c r="T18" s="1919"/>
      <c r="U18" s="1919"/>
      <c r="V18" s="1919"/>
      <c r="W18" s="1919"/>
      <c r="X18" s="1427"/>
      <c r="Y18" s="1427"/>
      <c r="Z18" s="1427"/>
      <c r="AC18" s="434"/>
      <c r="AD18" s="434"/>
      <c r="AE18" s="434"/>
      <c r="AF18" s="434"/>
      <c r="AG18" s="434"/>
      <c r="AH18" s="434"/>
      <c r="AI18" s="434"/>
      <c r="AJ18" s="434"/>
      <c r="AK18" s="434"/>
      <c r="AL18" s="434"/>
      <c r="AM18" s="434"/>
      <c r="AN18" s="434"/>
      <c r="AO18" s="434"/>
      <c r="AP18" s="434"/>
      <c r="AQ18" s="434"/>
      <c r="AR18" s="434"/>
      <c r="AS18" s="434"/>
      <c r="AT18" s="434"/>
      <c r="AU18" s="434"/>
      <c r="AV18" s="434"/>
      <c r="AW18" s="434"/>
    </row>
    <row r="19" spans="2:49" ht="15.75" thickBot="1" x14ac:dyDescent="0.3">
      <c r="C19" s="417">
        <v>2020</v>
      </c>
      <c r="D19" s="417">
        <f>C19+1</f>
        <v>2021</v>
      </c>
      <c r="E19" s="417">
        <f t="shared" ref="E19:Z19" si="7">D19+1</f>
        <v>2022</v>
      </c>
      <c r="F19" s="417">
        <f t="shared" si="7"/>
        <v>2023</v>
      </c>
      <c r="G19" s="417">
        <f t="shared" si="7"/>
        <v>2024</v>
      </c>
      <c r="H19" s="417">
        <f t="shared" si="7"/>
        <v>2025</v>
      </c>
      <c r="I19" s="417">
        <f t="shared" si="7"/>
        <v>2026</v>
      </c>
      <c r="J19" s="417">
        <f t="shared" si="7"/>
        <v>2027</v>
      </c>
      <c r="K19" s="417">
        <f t="shared" si="7"/>
        <v>2028</v>
      </c>
      <c r="L19" s="417">
        <f t="shared" si="7"/>
        <v>2029</v>
      </c>
      <c r="M19" s="417">
        <f t="shared" si="7"/>
        <v>2030</v>
      </c>
      <c r="N19" s="417">
        <f t="shared" si="7"/>
        <v>2031</v>
      </c>
      <c r="O19" s="417">
        <f t="shared" si="7"/>
        <v>2032</v>
      </c>
      <c r="P19" s="417">
        <f t="shared" si="7"/>
        <v>2033</v>
      </c>
      <c r="Q19" s="417">
        <f t="shared" si="7"/>
        <v>2034</v>
      </c>
      <c r="R19" s="417">
        <f t="shared" si="7"/>
        <v>2035</v>
      </c>
      <c r="S19" s="417">
        <f t="shared" si="7"/>
        <v>2036</v>
      </c>
      <c r="T19" s="417">
        <f t="shared" si="7"/>
        <v>2037</v>
      </c>
      <c r="U19" s="417">
        <f t="shared" si="7"/>
        <v>2038</v>
      </c>
      <c r="V19" s="417">
        <f t="shared" si="7"/>
        <v>2039</v>
      </c>
      <c r="W19" s="417">
        <f t="shared" si="7"/>
        <v>2040</v>
      </c>
      <c r="X19" s="417">
        <f t="shared" si="7"/>
        <v>2041</v>
      </c>
      <c r="Y19" s="417">
        <f t="shared" si="7"/>
        <v>2042</v>
      </c>
      <c r="Z19" s="417">
        <f t="shared" si="7"/>
        <v>2043</v>
      </c>
      <c r="AC19" s="434"/>
      <c r="AD19" s="434"/>
      <c r="AE19" s="434"/>
      <c r="AF19" s="434"/>
      <c r="AG19" s="434"/>
      <c r="AH19" s="434"/>
      <c r="AI19" s="434"/>
      <c r="AJ19" s="434"/>
      <c r="AK19" s="434"/>
      <c r="AL19" s="434"/>
      <c r="AM19" s="434"/>
      <c r="AN19" s="434"/>
      <c r="AO19" s="434"/>
      <c r="AP19" s="434"/>
      <c r="AQ19" s="434"/>
      <c r="AR19" s="434"/>
      <c r="AS19" s="434"/>
      <c r="AT19" s="434"/>
      <c r="AU19" s="434"/>
      <c r="AV19" s="434"/>
      <c r="AW19" s="434"/>
    </row>
    <row r="20" spans="2:49" ht="15" x14ac:dyDescent="0.25">
      <c r="B20" s="282" t="str">
        <f>VMT.VHT.ADT.Trip.Tables!B58</f>
        <v>Auto.Leisure</v>
      </c>
      <c r="D20" s="420"/>
      <c r="E20" s="420"/>
      <c r="F20" s="420">
        <f>VMT.VHT.ADT.Trip.Tables!C58</f>
        <v>87468717.469048768</v>
      </c>
      <c r="G20" s="420">
        <f>VMT.VHT.ADT.Trip.Tables!D58</f>
        <v>88235600.603181824</v>
      </c>
      <c r="H20" s="420">
        <f>VMT.VHT.ADT.Trip.Tables!E58</f>
        <v>89009207.395308673</v>
      </c>
      <c r="I20" s="420">
        <f>VMT.VHT.ADT.Trip.Tables!F58</f>
        <v>89789596.79518944</v>
      </c>
      <c r="J20" s="420">
        <f>VMT.VHT.ADT.Trip.Tables!G58</f>
        <v>90576828.269427121</v>
      </c>
      <c r="K20" s="420">
        <f>VMT.VHT.ADT.Trip.Tables!H58</f>
        <v>91370961.805998862</v>
      </c>
      <c r="L20" s="420">
        <f>VMT.VHT.ADT.Trip.Tables!I58</f>
        <v>92172057.918827206</v>
      </c>
      <c r="M20" s="420">
        <f>VMT.VHT.ADT.Trip.Tables!J58</f>
        <v>92980177.652391315</v>
      </c>
      <c r="N20" s="420">
        <f>VMT.VHT.ADT.Trip.Tables!K58</f>
        <v>93795382.586378664</v>
      </c>
      <c r="O20" s="420">
        <f>VMT.VHT.ADT.Trip.Tables!L58</f>
        <v>94617734.84037739</v>
      </c>
      <c r="P20" s="420">
        <f>VMT.VHT.ADT.Trip.Tables!M58</f>
        <v>95447297.078610003</v>
      </c>
      <c r="Q20" s="420">
        <f>VMT.VHT.ADT.Trip.Tables!N58</f>
        <v>96284132.514708325</v>
      </c>
      <c r="R20" s="420">
        <f>VMT.VHT.ADT.Trip.Tables!O58</f>
        <v>97128304.916530609</v>
      </c>
      <c r="S20" s="420">
        <f>VMT.VHT.ADT.Trip.Tables!P58</f>
        <v>97979878.61102061</v>
      </c>
      <c r="T20" s="420">
        <f>VMT.VHT.ADT.Trip.Tables!Q58</f>
        <v>98838918.489109412</v>
      </c>
      <c r="U20" s="420">
        <f>VMT.VHT.ADT.Trip.Tables!R58</f>
        <v>99705490.010660172</v>
      </c>
      <c r="V20" s="420">
        <f>VMT.VHT.ADT.Trip.Tables!S58</f>
        <v>100579659.20945635</v>
      </c>
      <c r="W20" s="420">
        <f>VMT.VHT.ADT.Trip.Tables!T58</f>
        <v>101461492.69823338</v>
      </c>
      <c r="X20" s="420">
        <f>VMT.VHT.ADT.Trip.Tables!U58</f>
        <v>102351057.67375472</v>
      </c>
      <c r="Y20" s="420">
        <f>VMT.VHT.ADT.Trip.Tables!V58</f>
        <v>103248421.92193244</v>
      </c>
      <c r="Z20" s="420">
        <f>VMT.VHT.ADT.Trip.Tables!W58</f>
        <v>104153653.8229924</v>
      </c>
      <c r="AC20" s="434"/>
      <c r="AD20" s="434"/>
      <c r="AE20" s="434"/>
      <c r="AF20" s="434"/>
      <c r="AG20" s="434"/>
      <c r="AH20" s="434"/>
      <c r="AI20" s="434"/>
      <c r="AJ20" s="434"/>
      <c r="AK20" s="434"/>
      <c r="AL20" s="434"/>
      <c r="AM20" s="434"/>
      <c r="AN20" s="434"/>
      <c r="AO20" s="434"/>
      <c r="AP20" s="434"/>
      <c r="AQ20" s="434"/>
      <c r="AR20" s="434"/>
      <c r="AS20" s="434"/>
      <c r="AT20" s="434"/>
      <c r="AU20" s="434"/>
      <c r="AV20" s="434"/>
      <c r="AW20" s="434"/>
    </row>
    <row r="21" spans="2:49" ht="15" x14ac:dyDescent="0.25">
      <c r="B21" s="282" t="str">
        <f>VMT.VHT.ADT.Trip.Tables!B59</f>
        <v>Auto.Commute</v>
      </c>
      <c r="D21" s="420"/>
      <c r="E21" s="420"/>
      <c r="F21" s="420">
        <f>VMT.VHT.ADT.Trip.Tables!C59</f>
        <v>47387568.758724816</v>
      </c>
      <c r="G21" s="420">
        <f>VMT.VHT.ADT.Trip.Tables!D59</f>
        <v>47441858.345112845</v>
      </c>
      <c r="H21" s="420">
        <f>VMT.VHT.ADT.Trip.Tables!E59</f>
        <v>47496210.128386408</v>
      </c>
      <c r="I21" s="420">
        <f>VMT.VHT.ADT.Trip.Tables!F59</f>
        <v>47550624.179801412</v>
      </c>
      <c r="J21" s="420">
        <f>VMT.VHT.ADT.Trip.Tables!G59</f>
        <v>47605100.570695348</v>
      </c>
      <c r="K21" s="420">
        <f>VMT.VHT.ADT.Trip.Tables!H59</f>
        <v>47659639.372487485</v>
      </c>
      <c r="L21" s="420">
        <f>VMT.VHT.ADT.Trip.Tables!I59</f>
        <v>47714240.6566789</v>
      </c>
      <c r="M21" s="420">
        <f>VMT.VHT.ADT.Trip.Tables!J59</f>
        <v>47768904.494852565</v>
      </c>
      <c r="N21" s="420">
        <f>VMT.VHT.ADT.Trip.Tables!K59</f>
        <v>47823630.958673455</v>
      </c>
      <c r="O21" s="420">
        <f>VMT.VHT.ADT.Trip.Tables!L59</f>
        <v>47878420.119888686</v>
      </c>
      <c r="P21" s="420">
        <f>VMT.VHT.ADT.Trip.Tables!M59</f>
        <v>47933272.050327569</v>
      </c>
      <c r="Q21" s="420">
        <f>VMT.VHT.ADT.Trip.Tables!N59</f>
        <v>47988186.821901679</v>
      </c>
      <c r="R21" s="420">
        <f>VMT.VHT.ADT.Trip.Tables!O59</f>
        <v>48043164.506604947</v>
      </c>
      <c r="S21" s="420">
        <f>VMT.VHT.ADT.Trip.Tables!P59</f>
        <v>48098205.17651388</v>
      </c>
      <c r="T21" s="420">
        <f>VMT.VHT.ADT.Trip.Tables!Q59</f>
        <v>48153308.903787471</v>
      </c>
      <c r="U21" s="420">
        <f>VMT.VHT.ADT.Trip.Tables!R59</f>
        <v>48208475.760667428</v>
      </c>
      <c r="V21" s="420">
        <f>VMT.VHT.ADT.Trip.Tables!S59</f>
        <v>48263705.819478206</v>
      </c>
      <c r="W21" s="420">
        <f>VMT.VHT.ADT.Trip.Tables!T59</f>
        <v>48318999.15262711</v>
      </c>
      <c r="X21" s="420">
        <f>VMT.VHT.ADT.Trip.Tables!U59</f>
        <v>48374355.832604431</v>
      </c>
      <c r="Y21" s="420">
        <f>VMT.VHT.ADT.Trip.Tables!V59</f>
        <v>48429775.931983471</v>
      </c>
      <c r="Z21" s="420">
        <f>VMT.VHT.ADT.Trip.Tables!W59</f>
        <v>48485259.523420669</v>
      </c>
      <c r="AC21" s="434"/>
      <c r="AD21" s="434"/>
      <c r="AE21" s="434"/>
      <c r="AF21" s="434"/>
      <c r="AG21" s="434"/>
      <c r="AH21" s="434"/>
      <c r="AI21" s="434"/>
      <c r="AJ21" s="434"/>
      <c r="AK21" s="434"/>
      <c r="AL21" s="434"/>
      <c r="AM21" s="434"/>
      <c r="AN21" s="434"/>
      <c r="AO21" s="434"/>
      <c r="AP21" s="434"/>
      <c r="AQ21" s="434"/>
      <c r="AR21" s="434"/>
      <c r="AS21" s="434"/>
      <c r="AT21" s="434"/>
      <c r="AU21" s="434"/>
      <c r="AV21" s="434"/>
      <c r="AW21" s="434"/>
    </row>
    <row r="22" spans="2:49" ht="15" x14ac:dyDescent="0.25">
      <c r="B22" s="282" t="str">
        <f>VMT.VHT.ADT.Trip.Tables!B60</f>
        <v>Auto.Business</v>
      </c>
      <c r="D22" s="420"/>
      <c r="E22" s="420"/>
      <c r="F22" s="420">
        <f>VMT.VHT.ADT.Trip.Tables!C60</f>
        <v>28787735.515373368</v>
      </c>
      <c r="G22" s="420">
        <f>VMT.VHT.ADT.Trip.Tables!D60</f>
        <v>29037244.911846101</v>
      </c>
      <c r="H22" s="420">
        <f>VMT.VHT.ADT.Trip.Tables!E60</f>
        <v>29288916.859065309</v>
      </c>
      <c r="I22" s="420">
        <f>VMT.VHT.ADT.Trip.Tables!F60</f>
        <v>29542770.100316007</v>
      </c>
      <c r="J22" s="420">
        <f>VMT.VHT.ADT.Trip.Tables!G60</f>
        <v>29798823.541335229</v>
      </c>
      <c r="K22" s="420">
        <f>VMT.VHT.ADT.Trip.Tables!H60</f>
        <v>30057096.251720019</v>
      </c>
      <c r="L22" s="420">
        <f>VMT.VHT.ADT.Trip.Tables!I60</f>
        <v>30317607.466347668</v>
      </c>
      <c r="M22" s="420">
        <f>VMT.VHT.ADT.Trip.Tables!J60</f>
        <v>30580376.586808216</v>
      </c>
      <c r="N22" s="420">
        <f>VMT.VHT.ADT.Trip.Tables!K60</f>
        <v>30845423.182849392</v>
      </c>
      <c r="O22" s="420">
        <f>VMT.VHT.ADT.Trip.Tables!L60</f>
        <v>31112766.993834067</v>
      </c>
      <c r="P22" s="420">
        <f>VMT.VHT.ADT.Trip.Tables!M60</f>
        <v>31382427.930210348</v>
      </c>
      <c r="Q22" s="420">
        <f>VMT.VHT.ADT.Trip.Tables!N60</f>
        <v>31654426.074994408</v>
      </c>
      <c r="R22" s="420">
        <f>VMT.VHT.ADT.Trip.Tables!O60</f>
        <v>31928781.685266178</v>
      </c>
      <c r="S22" s="420">
        <f>VMT.VHT.ADT.Trip.Tables!P60</f>
        <v>32205515.19367798</v>
      </c>
      <c r="T22" s="420">
        <f>VMT.VHT.ADT.Trip.Tables!Q60</f>
        <v>32484647.209976271</v>
      </c>
      <c r="U22" s="420">
        <f>VMT.VHT.ADT.Trip.Tables!R60</f>
        <v>32766198.52253652</v>
      </c>
      <c r="V22" s="420">
        <f>VMT.VHT.ADT.Trip.Tables!S60</f>
        <v>33050190.099911474</v>
      </c>
      <c r="W22" s="420">
        <f>VMT.VHT.ADT.Trip.Tables!T60</f>
        <v>33336643.092392743</v>
      </c>
      <c r="X22" s="420">
        <f>VMT.VHT.ADT.Trip.Tables!U60</f>
        <v>33625578.833586</v>
      </c>
      <c r="Y22" s="420">
        <f>VMT.VHT.ADT.Trip.Tables!V60</f>
        <v>33917018.841999784</v>
      </c>
      <c r="Z22" s="420">
        <f>VMT.VHT.ADT.Trip.Tables!W60</f>
        <v>34210984.822648115</v>
      </c>
      <c r="AC22" s="434"/>
      <c r="AD22" s="434"/>
      <c r="AE22" s="434"/>
      <c r="AF22" s="434"/>
      <c r="AG22" s="434"/>
      <c r="AH22" s="434"/>
      <c r="AI22" s="434"/>
      <c r="AJ22" s="434"/>
      <c r="AK22" s="434"/>
      <c r="AL22" s="434"/>
      <c r="AM22" s="434"/>
      <c r="AN22" s="434"/>
      <c r="AO22" s="434"/>
      <c r="AP22" s="434"/>
      <c r="AQ22" s="434"/>
      <c r="AR22" s="434"/>
      <c r="AS22" s="434"/>
      <c r="AT22" s="434"/>
      <c r="AU22" s="434"/>
      <c r="AV22" s="434"/>
      <c r="AW22" s="434"/>
    </row>
    <row r="23" spans="2:49" ht="15" x14ac:dyDescent="0.25">
      <c r="B23" s="282" t="str">
        <f>VMT.VHT.ADT.Trip.Tables!B61</f>
        <v>Truck</v>
      </c>
      <c r="D23" s="420"/>
      <c r="E23" s="420"/>
      <c r="F23" s="420">
        <f>VMT.VHT.ADT.Trip.Tables!C61</f>
        <v>11384420.08687284</v>
      </c>
      <c r="G23" s="420">
        <f>VMT.VHT.ADT.Trip.Tables!D61</f>
        <v>11451092.71405975</v>
      </c>
      <c r="H23" s="420">
        <f>VMT.VHT.ADT.Trip.Tables!E61</f>
        <v>11518155.808146339</v>
      </c>
      <c r="I23" s="420">
        <f>VMT.VHT.ADT.Trip.Tables!F61</f>
        <v>11585611.655894155</v>
      </c>
      <c r="J23" s="420">
        <f>VMT.VHT.ADT.Trip.Tables!G61</f>
        <v>11653462.557457108</v>
      </c>
      <c r="K23" s="420">
        <f>VMT.VHT.ADT.Trip.Tables!H61</f>
        <v>11721710.826459924</v>
      </c>
      <c r="L23" s="420">
        <f>VMT.VHT.ADT.Trip.Tables!I61</f>
        <v>11790358.790077012</v>
      </c>
      <c r="M23" s="420">
        <f>VMT.VHT.ADT.Trip.Tables!J61</f>
        <v>11859408.789111845</v>
      </c>
      <c r="N23" s="420">
        <f>VMT.VHT.ADT.Trip.Tables!K61</f>
        <v>11928863.178076755</v>
      </c>
      <c r="O23" s="420">
        <f>VMT.VHT.ADT.Trip.Tables!L61</f>
        <v>11998724.325273229</v>
      </c>
      <c r="P23" s="420">
        <f>VMT.VHT.ADT.Trip.Tables!M61</f>
        <v>12068994.612872673</v>
      </c>
      <c r="Q23" s="420">
        <f>VMT.VHT.ADT.Trip.Tables!N61</f>
        <v>12139676.43699762</v>
      </c>
      <c r="R23" s="420">
        <f>VMT.VHT.ADT.Trip.Tables!O61</f>
        <v>12210772.207803454</v>
      </c>
      <c r="S23" s="420">
        <f>VMT.VHT.ADT.Trip.Tables!P61</f>
        <v>12282284.349560583</v>
      </c>
      <c r="T23" s="420">
        <f>VMT.VHT.ADT.Trip.Tables!Q61</f>
        <v>12354215.300737102</v>
      </c>
      <c r="U23" s="420">
        <f>VMT.VHT.ADT.Trip.Tables!R61</f>
        <v>12426567.514081953</v>
      </c>
      <c r="V23" s="420">
        <f>VMT.VHT.ADT.Trip.Tables!S61</f>
        <v>12499343.456708552</v>
      </c>
      <c r="W23" s="420">
        <f>VMT.VHT.ADT.Trip.Tables!T61</f>
        <v>12572545.610178908</v>
      </c>
      <c r="X23" s="420">
        <f>VMT.VHT.ADT.Trip.Tables!U61</f>
        <v>12646176.470588248</v>
      </c>
      <c r="Y23" s="420">
        <f>VMT.VHT.ADT.Trip.Tables!V61</f>
        <v>12720238.548650144</v>
      </c>
      <c r="Z23" s="420">
        <f>VMT.VHT.ADT.Trip.Tables!W61</f>
        <v>12794734.369782098</v>
      </c>
      <c r="AC23" s="434"/>
      <c r="AD23" s="434"/>
      <c r="AE23" s="434"/>
      <c r="AF23" s="434"/>
      <c r="AG23" s="434"/>
      <c r="AH23" s="434"/>
      <c r="AI23" s="434"/>
      <c r="AJ23" s="434"/>
      <c r="AK23" s="434"/>
      <c r="AL23" s="434"/>
      <c r="AM23" s="434"/>
      <c r="AN23" s="434"/>
      <c r="AO23" s="434"/>
      <c r="AP23" s="434"/>
      <c r="AQ23" s="434"/>
      <c r="AR23" s="434"/>
      <c r="AS23" s="434"/>
      <c r="AT23" s="434"/>
      <c r="AU23" s="434"/>
      <c r="AV23" s="434"/>
      <c r="AW23" s="434"/>
    </row>
    <row r="24" spans="2:49" ht="15" x14ac:dyDescent="0.25">
      <c r="B24" s="282" t="s">
        <v>5</v>
      </c>
      <c r="D24" s="420"/>
      <c r="E24" s="420"/>
      <c r="F24" s="420">
        <f>SUM(F20:F23)</f>
        <v>175028441.8300198</v>
      </c>
      <c r="G24" s="420">
        <f t="shared" ref="G24:W24" si="8">SUM(G20:G23)</f>
        <v>176165796.57420051</v>
      </c>
      <c r="H24" s="420">
        <f t="shared" si="8"/>
        <v>177312490.19090673</v>
      </c>
      <c r="I24" s="420">
        <f t="shared" si="8"/>
        <v>178468602.73120102</v>
      </c>
      <c r="J24" s="420">
        <f t="shared" si="8"/>
        <v>179634214.93891481</v>
      </c>
      <c r="K24" s="420">
        <f t="shared" si="8"/>
        <v>180809408.25666627</v>
      </c>
      <c r="L24" s="420">
        <f t="shared" si="8"/>
        <v>181994264.83193076</v>
      </c>
      <c r="M24" s="420">
        <f t="shared" si="8"/>
        <v>183188867.52316394</v>
      </c>
      <c r="N24" s="420">
        <f t="shared" si="8"/>
        <v>184393299.90597826</v>
      </c>
      <c r="O24" s="420">
        <f t="shared" si="8"/>
        <v>185607646.27937338</v>
      </c>
      <c r="P24" s="420">
        <f t="shared" si="8"/>
        <v>186831991.67202058</v>
      </c>
      <c r="Q24" s="420">
        <f t="shared" si="8"/>
        <v>188066421.84860206</v>
      </c>
      <c r="R24" s="420">
        <f t="shared" si="8"/>
        <v>189311023.31620517</v>
      </c>
      <c r="S24" s="420">
        <f t="shared" si="8"/>
        <v>190565883.33077306</v>
      </c>
      <c r="T24" s="420">
        <f t="shared" si="8"/>
        <v>191831089.90361026</v>
      </c>
      <c r="U24" s="420">
        <f t="shared" si="8"/>
        <v>193106731.80794609</v>
      </c>
      <c r="V24" s="420">
        <f t="shared" si="8"/>
        <v>194392898.5855546</v>
      </c>
      <c r="W24" s="420">
        <f t="shared" si="8"/>
        <v>195689680.55343214</v>
      </c>
      <c r="X24" s="420">
        <f t="shared" ref="X24:Z24" si="9">SUM(X20:X23)</f>
        <v>196997168.8105334</v>
      </c>
      <c r="Y24" s="420">
        <f t="shared" si="9"/>
        <v>198315455.24456584</v>
      </c>
      <c r="Z24" s="420">
        <f t="shared" si="9"/>
        <v>199644632.53884327</v>
      </c>
      <c r="AC24" s="434"/>
      <c r="AD24" s="434"/>
      <c r="AE24" s="434"/>
      <c r="AF24" s="434"/>
      <c r="AG24" s="434"/>
      <c r="AH24" s="434"/>
      <c r="AI24" s="434"/>
      <c r="AJ24" s="434"/>
      <c r="AK24" s="434"/>
      <c r="AL24" s="434"/>
      <c r="AM24" s="434"/>
      <c r="AN24" s="434"/>
      <c r="AO24" s="434"/>
      <c r="AP24" s="434"/>
      <c r="AQ24" s="434"/>
      <c r="AR24" s="434"/>
      <c r="AS24" s="434"/>
      <c r="AT24" s="434"/>
      <c r="AU24" s="434"/>
      <c r="AV24" s="434"/>
      <c r="AW24" s="434"/>
    </row>
    <row r="25" spans="2:49" ht="15" x14ac:dyDescent="0.25">
      <c r="D25" s="729"/>
      <c r="E25" s="729"/>
      <c r="F25" s="729"/>
      <c r="G25" s="729"/>
      <c r="H25" s="729"/>
      <c r="I25" s="729"/>
      <c r="J25" s="729"/>
      <c r="K25" s="729"/>
      <c r="L25" s="729"/>
      <c r="M25" s="729"/>
      <c r="N25" s="729"/>
      <c r="O25" s="729"/>
      <c r="P25" s="729"/>
      <c r="Q25" s="729"/>
      <c r="R25" s="729"/>
      <c r="S25" s="729"/>
      <c r="T25" s="729"/>
      <c r="U25" s="729"/>
      <c r="V25" s="729"/>
      <c r="W25" s="420"/>
      <c r="X25" s="420"/>
      <c r="Y25" s="420"/>
      <c r="Z25" s="420"/>
      <c r="AC25" s="434"/>
      <c r="AD25" s="434"/>
      <c r="AE25" s="434"/>
      <c r="AF25" s="434"/>
      <c r="AG25" s="434"/>
      <c r="AH25" s="434"/>
      <c r="AI25" s="434"/>
      <c r="AJ25" s="434"/>
      <c r="AK25" s="434"/>
      <c r="AL25" s="434"/>
      <c r="AM25" s="434"/>
      <c r="AN25" s="434"/>
      <c r="AO25" s="434"/>
      <c r="AP25" s="434"/>
      <c r="AQ25" s="434"/>
      <c r="AR25" s="434"/>
      <c r="AS25" s="434"/>
      <c r="AT25" s="434"/>
      <c r="AU25" s="434"/>
      <c r="AV25" s="434"/>
      <c r="AW25" s="434"/>
    </row>
    <row r="26" spans="2:49" ht="15" x14ac:dyDescent="0.25">
      <c r="D26" s="729"/>
      <c r="E26" s="729"/>
      <c r="F26" s="729"/>
      <c r="G26" s="729"/>
      <c r="H26" s="729"/>
      <c r="I26" s="729"/>
      <c r="J26" s="729"/>
      <c r="K26" s="729"/>
      <c r="L26" s="729"/>
      <c r="M26" s="729"/>
      <c r="N26" s="729"/>
      <c r="O26" s="729"/>
      <c r="P26" s="729"/>
      <c r="Q26" s="729"/>
      <c r="R26" s="729"/>
      <c r="S26" s="729"/>
      <c r="T26" s="729"/>
      <c r="U26" s="729"/>
      <c r="V26" s="729"/>
      <c r="W26" s="420"/>
      <c r="X26" s="420"/>
      <c r="Y26" s="420"/>
      <c r="Z26" s="420"/>
      <c r="AC26" s="434"/>
      <c r="AD26" s="434"/>
      <c r="AE26" s="434"/>
      <c r="AF26" s="434"/>
      <c r="AG26" s="434"/>
      <c r="AH26" s="434"/>
      <c r="AI26" s="434"/>
      <c r="AJ26" s="434"/>
      <c r="AK26" s="434"/>
      <c r="AL26" s="434"/>
      <c r="AM26" s="434"/>
      <c r="AN26" s="434"/>
      <c r="AO26" s="434"/>
      <c r="AP26" s="434"/>
      <c r="AQ26" s="434"/>
      <c r="AR26" s="434"/>
      <c r="AS26" s="434"/>
      <c r="AT26" s="434"/>
      <c r="AU26" s="434"/>
      <c r="AV26" s="434"/>
      <c r="AW26" s="434"/>
    </row>
    <row r="27" spans="2:49" ht="21.75" thickBot="1" x14ac:dyDescent="0.3">
      <c r="B27" s="1011" t="s">
        <v>583</v>
      </c>
      <c r="C27" s="1919" t="s">
        <v>900</v>
      </c>
      <c r="D27" s="1919"/>
      <c r="E27" s="1919"/>
      <c r="F27" s="1919"/>
      <c r="G27" s="1919"/>
      <c r="H27" s="1919"/>
      <c r="I27" s="1919"/>
      <c r="J27" s="1919"/>
      <c r="K27" s="1919"/>
      <c r="L27" s="1919"/>
      <c r="M27" s="1919"/>
      <c r="N27" s="1919"/>
      <c r="O27" s="1919"/>
      <c r="P27" s="1919"/>
      <c r="Q27" s="1919"/>
      <c r="R27" s="1919"/>
      <c r="S27" s="1919"/>
      <c r="T27" s="1919"/>
      <c r="U27" s="1919"/>
      <c r="V27" s="1919"/>
      <c r="W27" s="1919"/>
      <c r="X27" s="1427"/>
      <c r="Y27" s="1427"/>
      <c r="Z27" s="1427"/>
      <c r="AC27" s="434"/>
      <c r="AD27" s="434"/>
      <c r="AE27" s="434"/>
      <c r="AF27" s="434"/>
      <c r="AG27" s="434"/>
      <c r="AH27" s="434"/>
      <c r="AI27" s="434"/>
      <c r="AJ27" s="434"/>
      <c r="AK27" s="434"/>
      <c r="AL27" s="434"/>
      <c r="AM27" s="434"/>
      <c r="AN27" s="434"/>
      <c r="AO27" s="434"/>
      <c r="AP27" s="434"/>
      <c r="AQ27" s="434"/>
      <c r="AR27" s="434"/>
      <c r="AS27" s="434"/>
      <c r="AT27" s="434"/>
      <c r="AU27" s="434"/>
      <c r="AV27" s="434"/>
      <c r="AW27" s="434"/>
    </row>
    <row r="28" spans="2:49" ht="15.75" thickBot="1" x14ac:dyDescent="0.3">
      <c r="C28" s="417">
        <v>2020</v>
      </c>
      <c r="D28" s="417">
        <f>C28+1</f>
        <v>2021</v>
      </c>
      <c r="E28" s="417">
        <f t="shared" ref="E28:W28" si="10">D28+1</f>
        <v>2022</v>
      </c>
      <c r="F28" s="417">
        <f t="shared" si="10"/>
        <v>2023</v>
      </c>
      <c r="G28" s="417">
        <f t="shared" si="10"/>
        <v>2024</v>
      </c>
      <c r="H28" s="417">
        <f t="shared" si="10"/>
        <v>2025</v>
      </c>
      <c r="I28" s="417">
        <f t="shared" si="10"/>
        <v>2026</v>
      </c>
      <c r="J28" s="417">
        <f t="shared" si="10"/>
        <v>2027</v>
      </c>
      <c r="K28" s="417">
        <f t="shared" si="10"/>
        <v>2028</v>
      </c>
      <c r="L28" s="417">
        <f t="shared" si="10"/>
        <v>2029</v>
      </c>
      <c r="M28" s="417">
        <f t="shared" si="10"/>
        <v>2030</v>
      </c>
      <c r="N28" s="417">
        <f t="shared" si="10"/>
        <v>2031</v>
      </c>
      <c r="O28" s="417">
        <f t="shared" si="10"/>
        <v>2032</v>
      </c>
      <c r="P28" s="417">
        <f t="shared" si="10"/>
        <v>2033</v>
      </c>
      <c r="Q28" s="417">
        <f t="shared" si="10"/>
        <v>2034</v>
      </c>
      <c r="R28" s="417">
        <f t="shared" si="10"/>
        <v>2035</v>
      </c>
      <c r="S28" s="417">
        <f t="shared" si="10"/>
        <v>2036</v>
      </c>
      <c r="T28" s="417">
        <f t="shared" si="10"/>
        <v>2037</v>
      </c>
      <c r="U28" s="417">
        <f t="shared" si="10"/>
        <v>2038</v>
      </c>
      <c r="V28" s="417">
        <f t="shared" si="10"/>
        <v>2039</v>
      </c>
      <c r="W28" s="417">
        <f t="shared" si="10"/>
        <v>2040</v>
      </c>
      <c r="X28" s="417">
        <f t="shared" ref="X28:Z28" si="11">W28+1</f>
        <v>2041</v>
      </c>
      <c r="Y28" s="417">
        <f t="shared" si="11"/>
        <v>2042</v>
      </c>
      <c r="Z28" s="417">
        <f t="shared" si="11"/>
        <v>2043</v>
      </c>
      <c r="AC28" s="434"/>
      <c r="AD28" s="434"/>
      <c r="AE28" s="434"/>
      <c r="AF28" s="434"/>
      <c r="AG28" s="434"/>
      <c r="AH28" s="434"/>
      <c r="AI28" s="434"/>
      <c r="AJ28" s="434"/>
      <c r="AK28" s="434"/>
      <c r="AL28" s="434"/>
      <c r="AM28" s="434"/>
      <c r="AN28" s="434"/>
      <c r="AO28" s="434"/>
      <c r="AP28" s="434"/>
      <c r="AQ28" s="434"/>
      <c r="AR28" s="434"/>
      <c r="AS28" s="434"/>
      <c r="AT28" s="434"/>
      <c r="AU28" s="434"/>
      <c r="AV28" s="434"/>
      <c r="AW28" s="434"/>
    </row>
    <row r="29" spans="2:49" ht="15" x14ac:dyDescent="0.25">
      <c r="B29" s="282" t="s">
        <v>584</v>
      </c>
      <c r="C29" s="421"/>
      <c r="D29" s="420"/>
      <c r="E29" s="420"/>
      <c r="F29" s="792">
        <f>F4/F12</f>
        <v>38.821431834891619</v>
      </c>
      <c r="G29" s="792">
        <f t="shared" ref="G29:W29" si="12">G4/G12</f>
        <v>37.620172434593442</v>
      </c>
      <c r="H29" s="792">
        <f t="shared" si="12"/>
        <v>36.456083846359647</v>
      </c>
      <c r="I29" s="792">
        <f t="shared" si="12"/>
        <v>35.328015886250618</v>
      </c>
      <c r="J29" s="792">
        <f t="shared" si="12"/>
        <v>34.234853960700534</v>
      </c>
      <c r="K29" s="792">
        <f t="shared" si="12"/>
        <v>33.175517965237198</v>
      </c>
      <c r="L29" s="792">
        <f t="shared" si="12"/>
        <v>32.14896121727913</v>
      </c>
      <c r="M29" s="792">
        <f t="shared" si="12"/>
        <v>31.154169421955189</v>
      </c>
      <c r="N29" s="792">
        <f t="shared" si="12"/>
        <v>30.190159669925134</v>
      </c>
      <c r="O29" s="792">
        <f t="shared" si="12"/>
        <v>29.255979466210821</v>
      </c>
      <c r="P29" s="792">
        <f t="shared" si="12"/>
        <v>28.350705789078447</v>
      </c>
      <c r="Q29" s="792">
        <f t="shared" si="12"/>
        <v>27.473444178042008</v>
      </c>
      <c r="R29" s="792">
        <f t="shared" si="12"/>
        <v>26.623327850086827</v>
      </c>
      <c r="S29" s="792">
        <f t="shared" si="12"/>
        <v>25.799516843240017</v>
      </c>
      <c r="T29" s="792">
        <f t="shared" si="12"/>
        <v>25.001197186641512</v>
      </c>
      <c r="U29" s="792">
        <f t="shared" si="12"/>
        <v>24.227580096295849</v>
      </c>
      <c r="V29" s="792">
        <f t="shared" si="12"/>
        <v>23.477901195709936</v>
      </c>
      <c r="W29" s="792">
        <f t="shared" si="12"/>
        <v>22.751419760646787</v>
      </c>
      <c r="X29" s="792">
        <f t="shared" ref="X29:Z29" si="13">X4/X12</f>
        <v>22.047417987248956</v>
      </c>
      <c r="Y29" s="792">
        <f t="shared" si="13"/>
        <v>21.365200282808644</v>
      </c>
      <c r="Z29" s="792">
        <f t="shared" si="13"/>
        <v>20.704092578483582</v>
      </c>
      <c r="AC29" s="434"/>
      <c r="AD29" s="434"/>
      <c r="AE29" s="434"/>
      <c r="AF29" s="434"/>
      <c r="AG29" s="434"/>
      <c r="AH29" s="434"/>
      <c r="AI29" s="434"/>
      <c r="AJ29" s="434"/>
      <c r="AK29" s="434"/>
      <c r="AL29" s="434"/>
      <c r="AM29" s="434"/>
      <c r="AN29" s="434"/>
      <c r="AO29" s="434"/>
      <c r="AP29" s="434"/>
      <c r="AQ29" s="434"/>
      <c r="AR29" s="434"/>
      <c r="AS29" s="434"/>
      <c r="AT29" s="434"/>
      <c r="AU29" s="434"/>
      <c r="AV29" s="434"/>
      <c r="AW29" s="434"/>
    </row>
    <row r="30" spans="2:49" ht="15" x14ac:dyDescent="0.25">
      <c r="B30" s="282" t="s">
        <v>585</v>
      </c>
      <c r="C30" s="421"/>
      <c r="D30" s="420"/>
      <c r="E30" s="420"/>
      <c r="F30" s="792">
        <f t="shared" ref="F30:W30" si="14">F5/F13</f>
        <v>38.796321414879486</v>
      </c>
      <c r="G30" s="792">
        <f t="shared" si="14"/>
        <v>37.596936648117925</v>
      </c>
      <c r="H30" s="792">
        <f t="shared" si="14"/>
        <v>36.434630752916291</v>
      </c>
      <c r="I30" s="792">
        <f t="shared" si="14"/>
        <v>35.308257439314701</v>
      </c>
      <c r="J30" s="792">
        <f t="shared" si="14"/>
        <v>34.216705854803713</v>
      </c>
      <c r="K30" s="792">
        <f t="shared" si="14"/>
        <v>33.158899488778687</v>
      </c>
      <c r="L30" s="792">
        <f t="shared" si="14"/>
        <v>32.133795110862955</v>
      </c>
      <c r="M30" s="792">
        <f t="shared" si="14"/>
        <v>31.140381742052565</v>
      </c>
      <c r="N30" s="792">
        <f t="shared" si="14"/>
        <v>30.177679657668012</v>
      </c>
      <c r="O30" s="792">
        <f t="shared" si="14"/>
        <v>29.244739421129619</v>
      </c>
      <c r="P30" s="792">
        <f t="shared" si="14"/>
        <v>28.340640947603696</v>
      </c>
      <c r="Q30" s="792">
        <f t="shared" si="14"/>
        <v>27.4644925965959</v>
      </c>
      <c r="R30" s="792">
        <f t="shared" si="14"/>
        <v>26.615430292597175</v>
      </c>
      <c r="S30" s="792">
        <f t="shared" si="14"/>
        <v>25.792616672914615</v>
      </c>
      <c r="T30" s="792">
        <f t="shared" si="14"/>
        <v>24.995240261847211</v>
      </c>
      <c r="U30" s="792">
        <f t="shared" si="14"/>
        <v>24.222514670391853</v>
      </c>
      <c r="V30" s="792">
        <f t="shared" si="14"/>
        <v>23.47367782069033</v>
      </c>
      <c r="W30" s="792">
        <f t="shared" si="14"/>
        <v>22.747991194452442</v>
      </c>
      <c r="X30" s="792">
        <f t="shared" ref="X30:Z30" si="15">X5/X13</f>
        <v>22.044739104614148</v>
      </c>
      <c r="Y30" s="792">
        <f t="shared" si="15"/>
        <v>21.363227989512222</v>
      </c>
      <c r="Z30" s="792">
        <f t="shared" si="15"/>
        <v>20.70278572887954</v>
      </c>
      <c r="AC30" s="434"/>
      <c r="AD30" s="434"/>
      <c r="AE30" s="434"/>
      <c r="AF30" s="434"/>
      <c r="AG30" s="434"/>
      <c r="AH30" s="434"/>
      <c r="AI30" s="434"/>
      <c r="AJ30" s="434"/>
      <c r="AK30" s="434"/>
      <c r="AL30" s="434"/>
      <c r="AM30" s="434"/>
      <c r="AN30" s="434"/>
      <c r="AO30" s="434"/>
      <c r="AP30" s="434"/>
      <c r="AQ30" s="434"/>
      <c r="AR30" s="434"/>
      <c r="AS30" s="434"/>
      <c r="AT30" s="434"/>
      <c r="AU30" s="434"/>
      <c r="AV30" s="434"/>
      <c r="AW30" s="434"/>
    </row>
    <row r="31" spans="2:49" ht="15" x14ac:dyDescent="0.25">
      <c r="B31" s="282" t="s">
        <v>586</v>
      </c>
      <c r="C31" s="421"/>
      <c r="D31" s="420"/>
      <c r="E31" s="420"/>
      <c r="F31" s="792">
        <f t="shared" ref="F31:W31" si="16">F6/F14</f>
        <v>38.820390406202534</v>
      </c>
      <c r="G31" s="792">
        <f t="shared" si="16"/>
        <v>37.619133456215238</v>
      </c>
      <c r="H31" s="792">
        <f t="shared" si="16"/>
        <v>36.455048163823172</v>
      </c>
      <c r="I31" s="792">
        <f t="shared" si="16"/>
        <v>35.326984290413051</v>
      </c>
      <c r="J31" s="792">
        <f t="shared" si="16"/>
        <v>34.233827190319332</v>
      </c>
      <c r="K31" s="792">
        <f t="shared" si="16"/>
        <v>33.174496709437179</v>
      </c>
      <c r="L31" s="792">
        <f t="shared" si="16"/>
        <v>32.147946117916725</v>
      </c>
      <c r="M31" s="792">
        <f t="shared" si="16"/>
        <v>31.153161075883911</v>
      </c>
      <c r="N31" s="792">
        <f t="shared" si="16"/>
        <v>30.189158631166098</v>
      </c>
      <c r="O31" s="792">
        <f t="shared" si="16"/>
        <v>29.254986248032026</v>
      </c>
      <c r="P31" s="792">
        <f t="shared" si="16"/>
        <v>28.349720865986406</v>
      </c>
      <c r="Q31" s="792">
        <f t="shared" si="16"/>
        <v>27.472467987689111</v>
      </c>
      <c r="R31" s="792">
        <f t="shared" si="16"/>
        <v>26.622360795097809</v>
      </c>
      <c r="S31" s="792">
        <f t="shared" si="16"/>
        <v>25.798559292960654</v>
      </c>
      <c r="T31" s="792">
        <f t="shared" si="16"/>
        <v>25.000249478812655</v>
      </c>
      <c r="U31" s="792">
        <f t="shared" si="16"/>
        <v>24.226642538655724</v>
      </c>
      <c r="V31" s="792">
        <f t="shared" si="16"/>
        <v>23.476974067527511</v>
      </c>
      <c r="W31" s="792">
        <f t="shared" si="16"/>
        <v>22.750503314189004</v>
      </c>
      <c r="X31" s="792">
        <f t="shared" ref="X31:Z31" si="17">X6/X14</f>
        <v>22.046512449184409</v>
      </c>
      <c r="Y31" s="792">
        <f t="shared" si="17"/>
        <v>21.364305855550235</v>
      </c>
      <c r="Z31" s="792">
        <f t="shared" si="17"/>
        <v>20.703209441472609</v>
      </c>
      <c r="AC31" s="434"/>
      <c r="AD31" s="434"/>
      <c r="AE31" s="434"/>
      <c r="AF31" s="434"/>
      <c r="AG31" s="434"/>
      <c r="AH31" s="434"/>
      <c r="AI31" s="434"/>
      <c r="AJ31" s="434"/>
      <c r="AK31" s="434"/>
      <c r="AL31" s="434"/>
      <c r="AM31" s="434"/>
      <c r="AN31" s="434"/>
      <c r="AO31" s="434"/>
      <c r="AP31" s="434"/>
      <c r="AQ31" s="434"/>
      <c r="AR31" s="434"/>
      <c r="AS31" s="434"/>
      <c r="AT31" s="434"/>
      <c r="AU31" s="434"/>
      <c r="AV31" s="434"/>
      <c r="AW31" s="434"/>
    </row>
    <row r="32" spans="2:49" ht="15" x14ac:dyDescent="0.25">
      <c r="B32" s="282" t="s">
        <v>587</v>
      </c>
      <c r="C32" s="421"/>
      <c r="D32" s="420"/>
      <c r="E32" s="420"/>
      <c r="F32" s="792">
        <f t="shared" ref="F32:W32" si="18">F7/F15</f>
        <v>38.63573596229935</v>
      </c>
      <c r="G32" s="792">
        <f t="shared" si="18"/>
        <v>37.389132250901135</v>
      </c>
      <c r="H32" s="792">
        <f t="shared" si="18"/>
        <v>36.182750908109739</v>
      </c>
      <c r="I32" s="792">
        <f t="shared" si="18"/>
        <v>35.01529413662076</v>
      </c>
      <c r="J32" s="792">
        <f t="shared" si="18"/>
        <v>33.885506013288385</v>
      </c>
      <c r="K32" s="792">
        <f t="shared" si="18"/>
        <v>32.792171138032181</v>
      </c>
      <c r="L32" s="792">
        <f t="shared" si="18"/>
        <v>31.734113326337692</v>
      </c>
      <c r="M32" s="792">
        <f t="shared" si="18"/>
        <v>30.710194343944131</v>
      </c>
      <c r="N32" s="792">
        <f t="shared" si="18"/>
        <v>29.719312682358119</v>
      </c>
      <c r="O32" s="792">
        <f t="shared" si="18"/>
        <v>28.760402373876275</v>
      </c>
      <c r="P32" s="792">
        <f t="shared" si="18"/>
        <v>27.832431844841569</v>
      </c>
      <c r="Q32" s="792">
        <f t="shared" si="18"/>
        <v>26.93440280590017</v>
      </c>
      <c r="R32" s="792">
        <f t="shared" si="18"/>
        <v>26.065349178064686</v>
      </c>
      <c r="S32" s="792">
        <f t="shared" si="18"/>
        <v>25.224336053428669</v>
      </c>
      <c r="T32" s="792">
        <f t="shared" si="18"/>
        <v>24.410458689414067</v>
      </c>
      <c r="U32" s="792">
        <f t="shared" si="18"/>
        <v>23.622841535470116</v>
      </c>
      <c r="V32" s="792">
        <f t="shared" si="18"/>
        <v>22.860637291176054</v>
      </c>
      <c r="W32" s="792">
        <f t="shared" si="18"/>
        <v>22.123025994734931</v>
      </c>
      <c r="X32" s="792">
        <f t="shared" ref="X32:Z32" si="19">X7/X15</f>
        <v>21.409214140877488</v>
      </c>
      <c r="Y32" s="792">
        <f t="shared" si="19"/>
        <v>20.718433827227447</v>
      </c>
      <c r="Z32" s="792">
        <f t="shared" si="19"/>
        <v>20.049941928209847</v>
      </c>
      <c r="AC32" s="434"/>
      <c r="AD32" s="434"/>
      <c r="AE32" s="434"/>
      <c r="AF32" s="434"/>
      <c r="AG32" s="434"/>
      <c r="AH32" s="434"/>
      <c r="AI32" s="434"/>
      <c r="AJ32" s="434"/>
      <c r="AK32" s="434"/>
      <c r="AL32" s="434"/>
      <c r="AM32" s="434"/>
      <c r="AN32" s="434"/>
      <c r="AO32" s="434"/>
      <c r="AP32" s="434"/>
      <c r="AQ32" s="434"/>
      <c r="AR32" s="434"/>
      <c r="AS32" s="434"/>
      <c r="AT32" s="434"/>
      <c r="AU32" s="434"/>
      <c r="AV32" s="434"/>
      <c r="AW32" s="434"/>
    </row>
    <row r="33" spans="1:49" ht="15" x14ac:dyDescent="0.25">
      <c r="C33" s="419"/>
      <c r="D33" s="420"/>
      <c r="E33" s="420"/>
      <c r="F33" s="792"/>
      <c r="G33" s="792"/>
      <c r="H33" s="792"/>
      <c r="I33" s="792"/>
      <c r="J33" s="792"/>
      <c r="K33" s="792"/>
      <c r="L33" s="792"/>
      <c r="M33" s="792"/>
      <c r="N33" s="792"/>
      <c r="O33" s="792"/>
      <c r="P33" s="792"/>
      <c r="Q33" s="792"/>
      <c r="R33" s="792"/>
      <c r="S33" s="792"/>
      <c r="T33" s="792"/>
      <c r="U33" s="792"/>
      <c r="V33" s="792"/>
      <c r="W33" s="792"/>
      <c r="X33" s="792"/>
      <c r="Y33" s="792"/>
      <c r="Z33" s="792"/>
      <c r="AC33" s="434"/>
      <c r="AD33" s="434"/>
      <c r="AE33" s="434"/>
      <c r="AF33" s="434"/>
      <c r="AG33" s="434"/>
      <c r="AH33" s="434"/>
      <c r="AI33" s="434"/>
      <c r="AJ33" s="434"/>
      <c r="AK33" s="434"/>
      <c r="AL33" s="434"/>
      <c r="AM33" s="434"/>
      <c r="AN33" s="434"/>
      <c r="AO33" s="434"/>
      <c r="AP33" s="434"/>
      <c r="AQ33" s="434"/>
      <c r="AR33" s="434"/>
      <c r="AS33" s="434"/>
      <c r="AT33" s="434"/>
      <c r="AU33" s="434"/>
      <c r="AV33" s="434"/>
      <c r="AW33" s="434"/>
    </row>
    <row r="34" spans="1:49" ht="15" x14ac:dyDescent="0.25">
      <c r="D34" s="729"/>
      <c r="E34" s="729"/>
      <c r="F34" s="729"/>
      <c r="G34" s="729"/>
      <c r="H34" s="729"/>
      <c r="I34" s="729"/>
      <c r="J34" s="729"/>
      <c r="K34" s="729"/>
      <c r="L34" s="729"/>
      <c r="M34" s="729"/>
      <c r="N34" s="729"/>
      <c r="O34" s="729"/>
      <c r="P34" s="729"/>
      <c r="Q34" s="729"/>
      <c r="R34" s="729"/>
      <c r="S34" s="729"/>
      <c r="T34" s="729"/>
      <c r="U34" s="729"/>
      <c r="V34" s="729"/>
      <c r="W34" s="420"/>
      <c r="X34" s="420"/>
      <c r="Y34" s="420"/>
      <c r="Z34" s="420"/>
      <c r="AC34" s="434"/>
      <c r="AD34" s="434"/>
      <c r="AE34" s="434"/>
      <c r="AF34" s="434"/>
      <c r="AG34" s="434"/>
      <c r="AH34" s="434"/>
      <c r="AI34" s="434"/>
      <c r="AJ34" s="434"/>
      <c r="AK34" s="434"/>
      <c r="AL34" s="434"/>
      <c r="AM34" s="434"/>
      <c r="AN34" s="434"/>
      <c r="AO34" s="434"/>
      <c r="AP34" s="434"/>
      <c r="AQ34" s="434"/>
      <c r="AR34" s="434"/>
      <c r="AS34" s="434"/>
      <c r="AT34" s="434"/>
      <c r="AU34" s="434"/>
      <c r="AV34" s="434"/>
      <c r="AW34" s="434"/>
    </row>
    <row r="35" spans="1:49" ht="21.75" customHeight="1" thickBot="1" x14ac:dyDescent="0.3">
      <c r="A35" s="416"/>
      <c r="B35" s="1011" t="str">
        <f>IF(BCA!I8=1,BCA!H5,IF(BCA!I8=2,BCA!H6,IF(BCA!I8=3,BCA!H7,IF(BCA!I8=4,BCA!#REF!,IF(BCA!I8=5,"error")))))</f>
        <v>6-Lane CD SDI</v>
      </c>
      <c r="C35" s="1919" t="s">
        <v>571</v>
      </c>
      <c r="D35" s="1919"/>
      <c r="E35" s="1919"/>
      <c r="F35" s="1919"/>
      <c r="G35" s="1919"/>
      <c r="H35" s="1919"/>
      <c r="I35" s="1919"/>
      <c r="J35" s="1919"/>
      <c r="K35" s="1919"/>
      <c r="L35" s="1919"/>
      <c r="M35" s="1919"/>
      <c r="N35" s="1919"/>
      <c r="O35" s="1919"/>
      <c r="P35" s="1919"/>
      <c r="Q35" s="1919"/>
      <c r="R35" s="1919"/>
      <c r="S35" s="1919"/>
      <c r="T35" s="1919"/>
      <c r="U35" s="1919"/>
      <c r="V35" s="1919"/>
      <c r="W35" s="1919"/>
      <c r="X35" s="1427"/>
      <c r="Y35" s="1427"/>
      <c r="Z35" s="1427"/>
      <c r="AC35" s="434"/>
      <c r="AD35" s="434"/>
      <c r="AE35" s="434"/>
      <c r="AF35" s="434"/>
      <c r="AG35" s="434"/>
      <c r="AH35" s="434"/>
      <c r="AI35" s="434"/>
      <c r="AJ35" s="434"/>
      <c r="AK35" s="434"/>
      <c r="AL35" s="434"/>
      <c r="AM35" s="434"/>
      <c r="AN35" s="434"/>
      <c r="AO35" s="434"/>
      <c r="AP35" s="434"/>
      <c r="AQ35" s="434"/>
      <c r="AR35" s="434"/>
      <c r="AS35" s="434"/>
      <c r="AT35" s="434"/>
      <c r="AU35" s="434"/>
      <c r="AV35" s="434"/>
      <c r="AW35" s="434"/>
    </row>
    <row r="36" spans="1:49" ht="15.75" thickBot="1" x14ac:dyDescent="0.3">
      <c r="A36" s="276"/>
      <c r="C36" s="417">
        <v>2020</v>
      </c>
      <c r="D36" s="417">
        <f>C36+1</f>
        <v>2021</v>
      </c>
      <c r="E36" s="417">
        <f t="shared" ref="E36:W36" si="20">D36+1</f>
        <v>2022</v>
      </c>
      <c r="F36" s="417">
        <f t="shared" si="20"/>
        <v>2023</v>
      </c>
      <c r="G36" s="417">
        <f t="shared" si="20"/>
        <v>2024</v>
      </c>
      <c r="H36" s="417">
        <f t="shared" si="20"/>
        <v>2025</v>
      </c>
      <c r="I36" s="417">
        <f t="shared" si="20"/>
        <v>2026</v>
      </c>
      <c r="J36" s="417">
        <f t="shared" si="20"/>
        <v>2027</v>
      </c>
      <c r="K36" s="417">
        <f t="shared" si="20"/>
        <v>2028</v>
      </c>
      <c r="L36" s="417">
        <f t="shared" si="20"/>
        <v>2029</v>
      </c>
      <c r="M36" s="417">
        <f t="shared" si="20"/>
        <v>2030</v>
      </c>
      <c r="N36" s="417">
        <f t="shared" si="20"/>
        <v>2031</v>
      </c>
      <c r="O36" s="417">
        <f t="shared" si="20"/>
        <v>2032</v>
      </c>
      <c r="P36" s="417">
        <f t="shared" si="20"/>
        <v>2033</v>
      </c>
      <c r="Q36" s="417">
        <f t="shared" si="20"/>
        <v>2034</v>
      </c>
      <c r="R36" s="417">
        <f t="shared" si="20"/>
        <v>2035</v>
      </c>
      <c r="S36" s="417">
        <f t="shared" si="20"/>
        <v>2036</v>
      </c>
      <c r="T36" s="417">
        <f t="shared" si="20"/>
        <v>2037</v>
      </c>
      <c r="U36" s="417">
        <f t="shared" si="20"/>
        <v>2038</v>
      </c>
      <c r="V36" s="417">
        <f t="shared" si="20"/>
        <v>2039</v>
      </c>
      <c r="W36" s="417">
        <f t="shared" si="20"/>
        <v>2040</v>
      </c>
      <c r="X36" s="417">
        <f t="shared" ref="X36:Z36" si="21">W36+1</f>
        <v>2041</v>
      </c>
      <c r="Y36" s="417">
        <f t="shared" si="21"/>
        <v>2042</v>
      </c>
      <c r="Z36" s="417">
        <f t="shared" si="21"/>
        <v>2043</v>
      </c>
      <c r="AC36" s="434"/>
      <c r="AD36" s="434"/>
      <c r="AE36" s="434"/>
      <c r="AF36" s="434"/>
      <c r="AG36" s="434"/>
      <c r="AH36" s="434"/>
      <c r="AI36" s="434"/>
      <c r="AJ36" s="434"/>
      <c r="AK36" s="434"/>
      <c r="AL36" s="434"/>
      <c r="AM36" s="434"/>
      <c r="AN36" s="434"/>
      <c r="AO36" s="434"/>
      <c r="AP36" s="434"/>
      <c r="AQ36" s="434"/>
      <c r="AR36" s="434"/>
      <c r="AS36" s="434"/>
      <c r="AT36" s="434"/>
      <c r="AU36" s="434"/>
      <c r="AV36" s="434"/>
      <c r="AW36" s="434"/>
    </row>
    <row r="37" spans="1:49" ht="15" x14ac:dyDescent="0.25">
      <c r="A37" s="418"/>
      <c r="B37" s="282" t="s">
        <v>561</v>
      </c>
      <c r="C37" s="421"/>
      <c r="D37" s="420"/>
      <c r="E37" s="420"/>
      <c r="F37" s="420">
        <f>IF(BCA!$I$8=1,VMT.VHT.ADT.Trip.Tables!C6,IF(BCA!$I$8=2,VMT.VHT.ADT.Trip.Tables!C14,IF(BCA!$I$8=3,VMT.VHT.ADT.Trip.Tables!C22,IF(BCA!$I$8=4,VMT.VHT.ADT.Trip.Tables!#REF!,IF(BCA!$I$8=5,VMT.VHT.ADT.Trip.Tables!#REF!)))))</f>
        <v>379448813.98219019</v>
      </c>
      <c r="G37" s="420">
        <f>IF(BCA!$I$8=1,VMT.VHT.ADT.Trip.Tables!D6,IF(BCA!$I$8=2,VMT.VHT.ADT.Trip.Tables!D14,IF(BCA!$I$8=3,VMT.VHT.ADT.Trip.Tables!D22,IF(BCA!$I$8=4,VMT.VHT.ADT.Trip.Tables!#REF!,IF(BCA!$I$8=5,VMT.VHT.ADT.Trip.Tables!#REF!)))))</f>
        <v>383417061.16706127</v>
      </c>
      <c r="H37" s="420">
        <f>IF(BCA!$I$8=1,VMT.VHT.ADT.Trip.Tables!E6,IF(BCA!$I$8=2,VMT.VHT.ADT.Trip.Tables!E14,IF(BCA!$I$8=3,VMT.VHT.ADT.Trip.Tables!E22,IF(BCA!$I$8=4,VMT.VHT.ADT.Trip.Tables!#REF!,IF(BCA!$I$8=5,VMT.VHT.ADT.Trip.Tables!#REF!)))))</f>
        <v>387426807.98281795</v>
      </c>
      <c r="I37" s="420">
        <f>IF(BCA!$I$8=1,VMT.VHT.ADT.Trip.Tables!F6,IF(BCA!$I$8=2,VMT.VHT.ADT.Trip.Tables!F14,IF(BCA!$I$8=3,VMT.VHT.ADT.Trip.Tables!F22,IF(BCA!$I$8=4,VMT.VHT.ADT.Trip.Tables!#REF!,IF(BCA!$I$8=5,VMT.VHT.ADT.Trip.Tables!#REF!)))))</f>
        <v>391478488.42948186</v>
      </c>
      <c r="J37" s="420">
        <f>IF(BCA!$I$8=1,VMT.VHT.ADT.Trip.Tables!G6,IF(BCA!$I$8=2,VMT.VHT.ADT.Trip.Tables!G14,IF(BCA!$I$8=3,VMT.VHT.ADT.Trip.Tables!G22,IF(BCA!$I$8=4,VMT.VHT.ADT.Trip.Tables!#REF!,IF(BCA!$I$8=5,VMT.VHT.ADT.Trip.Tables!#REF!)))))</f>
        <v>395572541.04581386</v>
      </c>
      <c r="K37" s="420">
        <f>IF(BCA!$I$8=1,VMT.VHT.ADT.Trip.Tables!H6,IF(BCA!$I$8=2,VMT.VHT.ADT.Trip.Tables!H14,IF(BCA!$I$8=3,VMT.VHT.ADT.Trip.Tables!H22,IF(BCA!$I$8=4,VMT.VHT.ADT.Trip.Tables!#REF!,IF(BCA!$I$8=5,VMT.VHT.ADT.Trip.Tables!#REF!)))))</f>
        <v>399709408.95678085</v>
      </c>
      <c r="L37" s="420">
        <f>IF(BCA!$I$8=1,VMT.VHT.ADT.Trip.Tables!I6,IF(BCA!$I$8=2,VMT.VHT.ADT.Trip.Tables!I14,IF(BCA!$I$8=3,VMT.VHT.ADT.Trip.Tables!I22,IF(BCA!$I$8=4,VMT.VHT.ADT.Trip.Tables!#REF!,IF(BCA!$I$8=5,VMT.VHT.ADT.Trip.Tables!#REF!)))))</f>
        <v>403889539.9215166</v>
      </c>
      <c r="M37" s="420">
        <f>IF(BCA!$I$8=1,VMT.VHT.ADT.Trip.Tables!J6,IF(BCA!$I$8=2,VMT.VHT.ADT.Trip.Tables!J14,IF(BCA!$I$8=3,VMT.VHT.ADT.Trip.Tables!J22,IF(BCA!$I$8=4,VMT.VHT.ADT.Trip.Tables!#REF!,IF(BCA!$I$8=5,VMT.VHT.ADT.Trip.Tables!#REF!)))))</f>
        <v>408113386.38178694</v>
      </c>
      <c r="N37" s="420">
        <f>IF(BCA!$I$8=1,VMT.VHT.ADT.Trip.Tables!K6,IF(BCA!$I$8=2,VMT.VHT.ADT.Trip.Tables!K14,IF(BCA!$I$8=3,VMT.VHT.ADT.Trip.Tables!K22,IF(BCA!$I$8=4,VMT.VHT.ADT.Trip.Tables!#REF!,IF(BCA!$I$8=5,VMT.VHT.ADT.Trip.Tables!#REF!)))))</f>
        <v>412381405.51095927</v>
      </c>
      <c r="O37" s="420">
        <f>IF(BCA!$I$8=1,VMT.VHT.ADT.Trip.Tables!L6,IF(BCA!$I$8=2,VMT.VHT.ADT.Trip.Tables!L14,IF(BCA!$I$8=3,VMT.VHT.ADT.Trip.Tables!L22,IF(BCA!$I$8=4,VMT.VHT.ADT.Trip.Tables!#REF!,IF(BCA!$I$8=5,VMT.VHT.ADT.Trip.Tables!#REF!)))))</f>
        <v>416694059.26348585</v>
      </c>
      <c r="P37" s="420">
        <f>IF(BCA!$I$8=1,VMT.VHT.ADT.Trip.Tables!M6,IF(BCA!$I$8=2,VMT.VHT.ADT.Trip.Tables!M14,IF(BCA!$I$8=3,VMT.VHT.ADT.Trip.Tables!M22,IF(BCA!$I$8=4,VMT.VHT.ADT.Trip.Tables!#REF!,IF(BCA!$I$8=5,VMT.VHT.ADT.Trip.Tables!#REF!)))))</f>
        <v>421051814.42490387</v>
      </c>
      <c r="Q37" s="420">
        <f>IF(BCA!$I$8=1,VMT.VHT.ADT.Trip.Tables!N6,IF(BCA!$I$8=2,VMT.VHT.ADT.Trip.Tables!N14,IF(BCA!$I$8=3,VMT.VHT.ADT.Trip.Tables!N22,IF(BCA!$I$8=4,VMT.VHT.ADT.Trip.Tables!#REF!,IF(BCA!$I$8=5,VMT.VHT.ADT.Trip.Tables!#REF!)))))</f>
        <v>425455142.66235864</v>
      </c>
      <c r="R37" s="420">
        <f>IF(BCA!$I$8=1,VMT.VHT.ADT.Trip.Tables!O6,IF(BCA!$I$8=2,VMT.VHT.ADT.Trip.Tables!O14,IF(BCA!$I$8=3,VMT.VHT.ADT.Trip.Tables!O22,IF(BCA!$I$8=4,VMT.VHT.ADT.Trip.Tables!#REF!,IF(BCA!$I$8=5,VMT.VHT.ADT.Trip.Tables!#REF!)))))</f>
        <v>429904520.57565498</v>
      </c>
      <c r="S37" s="420">
        <f>IF(BCA!$I$8=1,VMT.VHT.ADT.Trip.Tables!P6,IF(BCA!$I$8=2,VMT.VHT.ADT.Trip.Tables!P14,IF(BCA!$I$8=3,VMT.VHT.ADT.Trip.Tables!P22,IF(BCA!$I$8=4,VMT.VHT.ADT.Trip.Tables!#REF!,IF(BCA!$I$8=5,VMT.VHT.ADT.Trip.Tables!#REF!)))))</f>
        <v>434400429.74884272</v>
      </c>
      <c r="T37" s="420">
        <f>IF(BCA!$I$8=1,VMT.VHT.ADT.Trip.Tables!Q6,IF(BCA!$I$8=2,VMT.VHT.ADT.Trip.Tables!Q14,IF(BCA!$I$8=3,VMT.VHT.ADT.Trip.Tables!Q22,IF(BCA!$I$8=4,VMT.VHT.ADT.Trip.Tables!#REF!,IF(BCA!$I$8=5,VMT.VHT.ADT.Trip.Tables!#REF!)))))</f>
        <v>438943356.80234122</v>
      </c>
      <c r="U37" s="420">
        <f>IF(BCA!$I$8=1,VMT.VHT.ADT.Trip.Tables!R6,IF(BCA!$I$8=2,VMT.VHT.ADT.Trip.Tables!R14,IF(BCA!$I$8=3,VMT.VHT.ADT.Trip.Tables!R22,IF(BCA!$I$8=4,VMT.VHT.ADT.Trip.Tables!#REF!,IF(BCA!$I$8=5,VMT.VHT.ADT.Trip.Tables!#REF!)))))</f>
        <v>443533793.44561011</v>
      </c>
      <c r="V37" s="420">
        <f>IF(BCA!$I$8=1,VMT.VHT.ADT.Trip.Tables!S6,IF(BCA!$I$8=2,VMT.VHT.ADT.Trip.Tables!S14,IF(BCA!$I$8=3,VMT.VHT.ADT.Trip.Tables!S22,IF(BCA!$I$8=4,VMT.VHT.ADT.Trip.Tables!#REF!,IF(BCA!$I$8=5,VMT.VHT.ADT.Trip.Tables!#REF!)))))</f>
        <v>448172236.53036928</v>
      </c>
      <c r="W37" s="420">
        <f>IF(BCA!$I$8=1,VMT.VHT.ADT.Trip.Tables!T6,IF(BCA!$I$8=2,VMT.VHT.ADT.Trip.Tables!T14,IF(BCA!$I$8=3,VMT.VHT.ADT.Trip.Tables!T22,IF(BCA!$I$8=4,VMT.VHT.ADT.Trip.Tables!#REF!,IF(BCA!$I$8=5,VMT.VHT.ADT.Trip.Tables!#REF!)))))</f>
        <v>452859188.10437661</v>
      </c>
      <c r="X37" s="420">
        <f>IF(BCA!$I$8=1,VMT.VHT.ADT.Trip.Tables!U6,IF(BCA!$I$8=2,VMT.VHT.ADT.Trip.Tables!U14,IF(BCA!$I$8=3,VMT.VHT.ADT.Trip.Tables!U22,IF(BCA!$I$8=4,VMT.VHT.ADT.Trip.Tables!#REF!,IF(BCA!$I$8=5,VMT.VHT.ADT.Trip.Tables!#REF!)))))</f>
        <v>457595155.46576762</v>
      </c>
      <c r="Y37" s="420">
        <f>IF(BCA!$I$8=1,VMT.VHT.ADT.Trip.Tables!V6,IF(BCA!$I$8=2,VMT.VHT.ADT.Trip.Tables!V14,IF(BCA!$I$8=3,VMT.VHT.ADT.Trip.Tables!V22,IF(BCA!$I$8=4,VMT.VHT.ADT.Trip.Tables!#REF!,IF(BCA!$I$8=5,VMT.VHT.ADT.Trip.Tables!#REF!)))))</f>
        <v>462380651.21796399</v>
      </c>
      <c r="Z37" s="420">
        <f>IF(BCA!$I$8=1,VMT.VHT.ADT.Trip.Tables!W6,IF(BCA!$I$8=2,VMT.VHT.ADT.Trip.Tables!W14,IF(BCA!$I$8=3,VMT.VHT.ADT.Trip.Tables!W22,IF(BCA!$I$8=4,VMT.VHT.ADT.Trip.Tables!#REF!,IF(BCA!$I$8=5,VMT.VHT.ADT.Trip.Tables!#REF!)))))</f>
        <v>467216193.32515496</v>
      </c>
      <c r="AA37" s="282">
        <v>466545338.06688058</v>
      </c>
      <c r="AB37" s="711">
        <f>SUM(F37:Z37)</f>
        <v>8859643994.9452381</v>
      </c>
      <c r="AC37" s="434"/>
      <c r="AD37" s="434"/>
      <c r="AE37" s="434"/>
      <c r="AF37" s="434"/>
      <c r="AG37" s="434"/>
      <c r="AH37" s="434"/>
      <c r="AI37" s="434"/>
      <c r="AJ37" s="434"/>
      <c r="AK37" s="434"/>
      <c r="AL37" s="434"/>
      <c r="AM37" s="434"/>
      <c r="AN37" s="434"/>
      <c r="AO37" s="434"/>
      <c r="AP37" s="434"/>
      <c r="AQ37" s="434"/>
      <c r="AR37" s="434"/>
      <c r="AS37" s="434"/>
      <c r="AT37" s="434"/>
      <c r="AU37" s="434"/>
      <c r="AV37" s="434"/>
      <c r="AW37" s="434"/>
    </row>
    <row r="38" spans="1:49" ht="15" x14ac:dyDescent="0.25">
      <c r="A38" s="418"/>
      <c r="B38" s="282" t="s">
        <v>562</v>
      </c>
      <c r="C38" s="421"/>
      <c r="D38" s="420"/>
      <c r="E38" s="420"/>
      <c r="F38" s="420">
        <f>IF(BCA!$I$8=1,VMT.VHT.ADT.Trip.Tables!C7,IF(BCA!$I$8=2,VMT.VHT.ADT.Trip.Tables!C15,IF(BCA!$I$8=3,VMT.VHT.ADT.Trip.Tables!C23,IF(BCA!$I$8=4,VMT.VHT.ADT.Trip.Tables!#REF!,IF(BCA!$I$8=5,VMT.VHT.ADT.Trip.Tables!#REF!)))))</f>
        <v>205981376.3284108</v>
      </c>
      <c r="G38" s="420">
        <f>IF(BCA!$I$8=1,VMT.VHT.ADT.Trip.Tables!D7,IF(BCA!$I$8=2,VMT.VHT.ADT.Trip.Tables!D15,IF(BCA!$I$8=3,VMT.VHT.ADT.Trip.Tables!D23,IF(BCA!$I$8=4,VMT.VHT.ADT.Trip.Tables!#REF!,IF(BCA!$I$8=5,VMT.VHT.ADT.Trip.Tables!#REF!)))))</f>
        <v>206544196.519658</v>
      </c>
      <c r="H38" s="420">
        <f>IF(BCA!$I$8=1,VMT.VHT.ADT.Trip.Tables!E7,IF(BCA!$I$8=2,VMT.VHT.ADT.Trip.Tables!E15,IF(BCA!$I$8=3,VMT.VHT.ADT.Trip.Tables!E23,IF(BCA!$I$8=4,VMT.VHT.ADT.Trip.Tables!#REF!,IF(BCA!$I$8=5,VMT.VHT.ADT.Trip.Tables!#REF!)))))</f>
        <v>207108554.55172035</v>
      </c>
      <c r="I38" s="420">
        <f>IF(BCA!$I$8=1,VMT.VHT.ADT.Trip.Tables!F7,IF(BCA!$I$8=2,VMT.VHT.ADT.Trip.Tables!F15,IF(BCA!$I$8=3,VMT.VHT.ADT.Trip.Tables!F23,IF(BCA!$I$8=4,VMT.VHT.ADT.Trip.Tables!#REF!,IF(BCA!$I$8=5,VMT.VHT.ADT.Trip.Tables!#REF!)))))</f>
        <v>207674454.62656927</v>
      </c>
      <c r="J38" s="420">
        <f>IF(BCA!$I$8=1,VMT.VHT.ADT.Trip.Tables!G7,IF(BCA!$I$8=2,VMT.VHT.ADT.Trip.Tables!G15,IF(BCA!$I$8=3,VMT.VHT.ADT.Trip.Tables!G23,IF(BCA!$I$8=4,VMT.VHT.ADT.Trip.Tables!#REF!,IF(BCA!$I$8=5,VMT.VHT.ADT.Trip.Tables!#REF!)))))</f>
        <v>208241900.95765764</v>
      </c>
      <c r="K38" s="420">
        <f>IF(BCA!$I$8=1,VMT.VHT.ADT.Trip.Tables!H7,IF(BCA!$I$8=2,VMT.VHT.ADT.Trip.Tables!H15,IF(BCA!$I$8=3,VMT.VHT.ADT.Trip.Tables!H23,IF(BCA!$I$8=4,VMT.VHT.ADT.Trip.Tables!#REF!,IF(BCA!$I$8=5,VMT.VHT.ADT.Trip.Tables!#REF!)))))</f>
        <v>208810897.76995102</v>
      </c>
      <c r="L38" s="420">
        <f>IF(BCA!$I$8=1,VMT.VHT.ADT.Trip.Tables!I7,IF(BCA!$I$8=2,VMT.VHT.ADT.Trip.Tables!I15,IF(BCA!$I$8=3,VMT.VHT.ADT.Trip.Tables!I23,IF(BCA!$I$8=4,VMT.VHT.ADT.Trip.Tables!#REF!,IF(BCA!$I$8=5,VMT.VHT.ADT.Trip.Tables!#REF!)))))</f>
        <v>209381449.2999593</v>
      </c>
      <c r="M38" s="420">
        <f>IF(BCA!$I$8=1,VMT.VHT.ADT.Trip.Tables!J7,IF(BCA!$I$8=2,VMT.VHT.ADT.Trip.Tables!J15,IF(BCA!$I$8=3,VMT.VHT.ADT.Trip.Tables!J23,IF(BCA!$I$8=4,VMT.VHT.ADT.Trip.Tables!#REF!,IF(BCA!$I$8=5,VMT.VHT.ADT.Trip.Tables!#REF!)))))</f>
        <v>209953559.79576808</v>
      </c>
      <c r="N38" s="420">
        <f>IF(BCA!$I$8=1,VMT.VHT.ADT.Trip.Tables!K7,IF(BCA!$I$8=2,VMT.VHT.ADT.Trip.Tables!K15,IF(BCA!$I$8=3,VMT.VHT.ADT.Trip.Tables!K23,IF(BCA!$I$8=4,VMT.VHT.ADT.Trip.Tables!#REF!,IF(BCA!$I$8=5,VMT.VHT.ADT.Trip.Tables!#REF!)))))</f>
        <v>210527233.51707035</v>
      </c>
      <c r="O38" s="420">
        <f>IF(BCA!$I$8=1,VMT.VHT.ADT.Trip.Tables!L7,IF(BCA!$I$8=2,VMT.VHT.ADT.Trip.Tables!L15,IF(BCA!$I$8=3,VMT.VHT.ADT.Trip.Tables!L23,IF(BCA!$I$8=4,VMT.VHT.ADT.Trip.Tables!#REF!,IF(BCA!$I$8=5,VMT.VHT.ADT.Trip.Tables!#REF!)))))</f>
        <v>211102474.73519826</v>
      </c>
      <c r="P38" s="420">
        <f>IF(BCA!$I$8=1,VMT.VHT.ADT.Trip.Tables!M7,IF(BCA!$I$8=2,VMT.VHT.ADT.Trip.Tables!M15,IF(BCA!$I$8=3,VMT.VHT.ADT.Trip.Tables!M23,IF(BCA!$I$8=4,VMT.VHT.ADT.Trip.Tables!#REF!,IF(BCA!$I$8=5,VMT.VHT.ADT.Trip.Tables!#REF!)))))</f>
        <v>211679287.73315492</v>
      </c>
      <c r="Q38" s="420">
        <f>IF(BCA!$I$8=1,VMT.VHT.ADT.Trip.Tables!N7,IF(BCA!$I$8=2,VMT.VHT.ADT.Trip.Tables!N15,IF(BCA!$I$8=3,VMT.VHT.ADT.Trip.Tables!N23,IF(BCA!$I$8=4,VMT.VHT.ADT.Trip.Tables!#REF!,IF(BCA!$I$8=5,VMT.VHT.ADT.Trip.Tables!#REF!)))))</f>
        <v>212257676.80564606</v>
      </c>
      <c r="R38" s="420">
        <f>IF(BCA!$I$8=1,VMT.VHT.ADT.Trip.Tables!O7,IF(BCA!$I$8=2,VMT.VHT.ADT.Trip.Tables!O15,IF(BCA!$I$8=3,VMT.VHT.ADT.Trip.Tables!O23,IF(BCA!$I$8=4,VMT.VHT.ADT.Trip.Tables!#REF!,IF(BCA!$I$8=5,VMT.VHT.ADT.Trip.Tables!#REF!)))))</f>
        <v>212837646.25911251</v>
      </c>
      <c r="S38" s="420">
        <f>IF(BCA!$I$8=1,VMT.VHT.ADT.Trip.Tables!P7,IF(BCA!$I$8=2,VMT.VHT.ADT.Trip.Tables!P15,IF(BCA!$I$8=3,VMT.VHT.ADT.Trip.Tables!P23,IF(BCA!$I$8=4,VMT.VHT.ADT.Trip.Tables!#REF!,IF(BCA!$I$8=5,VMT.VHT.ADT.Trip.Tables!#REF!)))))</f>
        <v>213419200.41176152</v>
      </c>
      <c r="T38" s="420">
        <f>IF(BCA!$I$8=1,VMT.VHT.ADT.Trip.Tables!Q7,IF(BCA!$I$8=2,VMT.VHT.ADT.Trip.Tables!Q15,IF(BCA!$I$8=3,VMT.VHT.ADT.Trip.Tables!Q23,IF(BCA!$I$8=4,VMT.VHT.ADT.Trip.Tables!#REF!,IF(BCA!$I$8=5,VMT.VHT.ADT.Trip.Tables!#REF!)))))</f>
        <v>214002343.59359983</v>
      </c>
      <c r="U38" s="420">
        <f>IF(BCA!$I$8=1,VMT.VHT.ADT.Trip.Tables!R7,IF(BCA!$I$8=2,VMT.VHT.ADT.Trip.Tables!R15,IF(BCA!$I$8=3,VMT.VHT.ADT.Trip.Tables!R23,IF(BCA!$I$8=4,VMT.VHT.ADT.Trip.Tables!#REF!,IF(BCA!$I$8=5,VMT.VHT.ADT.Trip.Tables!#REF!)))))</f>
        <v>214587080.14646497</v>
      </c>
      <c r="V38" s="420">
        <f>IF(BCA!$I$8=1,VMT.VHT.ADT.Trip.Tables!S7,IF(BCA!$I$8=2,VMT.VHT.ADT.Trip.Tables!S15,IF(BCA!$I$8=3,VMT.VHT.ADT.Trip.Tables!S23,IF(BCA!$I$8=4,VMT.VHT.ADT.Trip.Tables!#REF!,IF(BCA!$I$8=5,VMT.VHT.ADT.Trip.Tables!#REF!)))))</f>
        <v>215173414.42405835</v>
      </c>
      <c r="W38" s="420">
        <f>IF(BCA!$I$8=1,VMT.VHT.ADT.Trip.Tables!T7,IF(BCA!$I$8=2,VMT.VHT.ADT.Trip.Tables!T15,IF(BCA!$I$8=3,VMT.VHT.ADT.Trip.Tables!T23,IF(BCA!$I$8=4,VMT.VHT.ADT.Trip.Tables!#REF!,IF(BCA!$I$8=5,VMT.VHT.ADT.Trip.Tables!#REF!)))))</f>
        <v>215761350.79197726</v>
      </c>
      <c r="X38" s="420">
        <f>IF(BCA!$I$8=1,VMT.VHT.ADT.Trip.Tables!U7,IF(BCA!$I$8=2,VMT.VHT.ADT.Trip.Tables!U15,IF(BCA!$I$8=3,VMT.VHT.ADT.Trip.Tables!U23,IF(BCA!$I$8=4,VMT.VHT.ADT.Trip.Tables!#REF!,IF(BCA!$I$8=5,VMT.VHT.ADT.Trip.Tables!#REF!)))))</f>
        <v>216350893.62774748</v>
      </c>
      <c r="Y38" s="420">
        <f>IF(BCA!$I$8=1,VMT.VHT.ADT.Trip.Tables!V7,IF(BCA!$I$8=2,VMT.VHT.ADT.Trip.Tables!V15,IF(BCA!$I$8=3,VMT.VHT.ADT.Trip.Tables!V23,IF(BCA!$I$8=4,VMT.VHT.ADT.Trip.Tables!#REF!,IF(BCA!$I$8=5,VMT.VHT.ADT.Trip.Tables!#REF!)))))</f>
        <v>216942047.32085577</v>
      </c>
      <c r="Z38" s="420">
        <f>IF(BCA!$I$8=1,VMT.VHT.ADT.Trip.Tables!W7,IF(BCA!$I$8=2,VMT.VHT.ADT.Trip.Tables!W15,IF(BCA!$I$8=3,VMT.VHT.ADT.Trip.Tables!W23,IF(BCA!$I$8=4,VMT.VHT.ADT.Trip.Tables!#REF!,IF(BCA!$I$8=5,VMT.VHT.ADT.Trip.Tables!#REF!)))))</f>
        <v>217534816.27278283</v>
      </c>
      <c r="AA38" s="282">
        <v>218801499.91907322</v>
      </c>
      <c r="AB38" s="711">
        <f>SUM(F38:Z38)</f>
        <v>4445871855.4891243</v>
      </c>
    </row>
    <row r="39" spans="1:49" ht="15" x14ac:dyDescent="0.25">
      <c r="A39" s="418"/>
      <c r="B39" s="282" t="s">
        <v>563</v>
      </c>
      <c r="C39" s="421"/>
      <c r="D39" s="420"/>
      <c r="E39" s="420"/>
      <c r="F39" s="420">
        <f>IF(BCA!$I$8=1,VMT.VHT.ADT.Trip.Tables!C8,IF(BCA!$I$8=2,VMT.VHT.ADT.Trip.Tables!C16,IF(BCA!$I$8=3,VMT.VHT.ADT.Trip.Tables!C24,IF(BCA!$I$8=4,VMT.VHT.ADT.Trip.Tables!#REF!,IF(BCA!$I$8=5,VMT.VHT.ADT.Trip.Tables!#REF!)))))</f>
        <v>124894315.15420036</v>
      </c>
      <c r="G39" s="420">
        <f>IF(BCA!$I$8=1,VMT.VHT.ADT.Trip.Tables!D8,IF(BCA!$I$8=2,VMT.VHT.ADT.Trip.Tables!D16,IF(BCA!$I$8=3,VMT.VHT.ADT.Trip.Tables!D24,IF(BCA!$I$8=4,VMT.VHT.ADT.Trip.Tables!#REF!,IF(BCA!$I$8=5,VMT.VHT.ADT.Trip.Tables!#REF!)))))</f>
        <v>126188184.48332641</v>
      </c>
      <c r="H39" s="420">
        <f>IF(BCA!$I$8=1,VMT.VHT.ADT.Trip.Tables!E8,IF(BCA!$I$8=2,VMT.VHT.ADT.Trip.Tables!E16,IF(BCA!$I$8=3,VMT.VHT.ADT.Trip.Tables!E24,IF(BCA!$I$8=4,VMT.VHT.ADT.Trip.Tables!#REF!,IF(BCA!$I$8=5,VMT.VHT.ADT.Trip.Tables!#REF!)))))</f>
        <v>127495457.9280744</v>
      </c>
      <c r="I39" s="420">
        <f>IF(BCA!$I$8=1,VMT.VHT.ADT.Trip.Tables!F8,IF(BCA!$I$8=2,VMT.VHT.ADT.Trip.Tables!F16,IF(BCA!$I$8=3,VMT.VHT.ADT.Trip.Tables!F24,IF(BCA!$I$8=4,VMT.VHT.ADT.Trip.Tables!#REF!,IF(BCA!$I$8=5,VMT.VHT.ADT.Trip.Tables!#REF!)))))</f>
        <v>128816274.35124263</v>
      </c>
      <c r="J39" s="420">
        <f>IF(BCA!$I$8=1,VMT.VHT.ADT.Trip.Tables!G8,IF(BCA!$I$8=2,VMT.VHT.ADT.Trip.Tables!G16,IF(BCA!$I$8=3,VMT.VHT.ADT.Trip.Tables!G24,IF(BCA!$I$8=4,VMT.VHT.ADT.Trip.Tables!#REF!,IF(BCA!$I$8=5,VMT.VHT.ADT.Trip.Tables!#REF!)))))</f>
        <v>130150774.05420808</v>
      </c>
      <c r="K39" s="420">
        <f>IF(BCA!$I$8=1,VMT.VHT.ADT.Trip.Tables!H8,IF(BCA!$I$8=2,VMT.VHT.ADT.Trip.Tables!H16,IF(BCA!$I$8=3,VMT.VHT.ADT.Trip.Tables!H24,IF(BCA!$I$8=4,VMT.VHT.ADT.Trip.Tables!#REF!,IF(BCA!$I$8=5,VMT.VHT.ADT.Trip.Tables!#REF!)))))</f>
        <v>131499098.79182999</v>
      </c>
      <c r="L39" s="420">
        <f>IF(BCA!$I$8=1,VMT.VHT.ADT.Trip.Tables!I8,IF(BCA!$I$8=2,VMT.VHT.ADT.Trip.Tables!I16,IF(BCA!$I$8=3,VMT.VHT.ADT.Trip.Tables!I24,IF(BCA!$I$8=4,VMT.VHT.ADT.Trip.Tables!#REF!,IF(BCA!$I$8=5,VMT.VHT.ADT.Trip.Tables!#REF!)))))</f>
        <v>132861391.78750716</v>
      </c>
      <c r="M39" s="420">
        <f>IF(BCA!$I$8=1,VMT.VHT.ADT.Trip.Tables!J8,IF(BCA!$I$8=2,VMT.VHT.ADT.Trip.Tables!J16,IF(BCA!$I$8=3,VMT.VHT.ADT.Trip.Tables!J24,IF(BCA!$I$8=4,VMT.VHT.ADT.Trip.Tables!#REF!,IF(BCA!$I$8=5,VMT.VHT.ADT.Trip.Tables!#REF!)))))</f>
        <v>134237797.74839184</v>
      </c>
      <c r="N39" s="420">
        <f>IF(BCA!$I$8=1,VMT.VHT.ADT.Trip.Tables!K8,IF(BCA!$I$8=2,VMT.VHT.ADT.Trip.Tables!K16,IF(BCA!$I$8=3,VMT.VHT.ADT.Trip.Tables!K24,IF(BCA!$I$8=4,VMT.VHT.ADT.Trip.Tables!#REF!,IF(BCA!$I$8=5,VMT.VHT.ADT.Trip.Tables!#REF!)))))</f>
        <v>135628462.88076097</v>
      </c>
      <c r="O39" s="420">
        <f>IF(BCA!$I$8=1,VMT.VHT.ADT.Trip.Tables!L8,IF(BCA!$I$8=2,VMT.VHT.ADT.Trip.Tables!L16,IF(BCA!$I$8=3,VMT.VHT.ADT.Trip.Tables!L24,IF(BCA!$I$8=4,VMT.VHT.ADT.Trip.Tables!#REF!,IF(BCA!$I$8=5,VMT.VHT.ADT.Trip.Tables!#REF!)))))</f>
        <v>137033534.90554661</v>
      </c>
      <c r="P39" s="420">
        <f>IF(BCA!$I$8=1,VMT.VHT.ADT.Trip.Tables!M8,IF(BCA!$I$8=2,VMT.VHT.ADT.Trip.Tables!M16,IF(BCA!$I$8=3,VMT.VHT.ADT.Trip.Tables!M24,IF(BCA!$I$8=4,VMT.VHT.ADT.Trip.Tables!#REF!,IF(BCA!$I$8=5,VMT.VHT.ADT.Trip.Tables!#REF!)))))</f>
        <v>138453163.0740273</v>
      </c>
      <c r="Q39" s="420">
        <f>IF(BCA!$I$8=1,VMT.VHT.ADT.Trip.Tables!N8,IF(BCA!$I$8=2,VMT.VHT.ADT.Trip.Tables!N16,IF(BCA!$I$8=3,VMT.VHT.ADT.Trip.Tables!N24,IF(BCA!$I$8=4,VMT.VHT.ADT.Trip.Tables!#REF!,IF(BCA!$I$8=5,VMT.VHT.ADT.Trip.Tables!#REF!)))))</f>
        <v>139887498.18368214</v>
      </c>
      <c r="R39" s="420">
        <f>IF(BCA!$I$8=1,VMT.VHT.ADT.Trip.Tables!O8,IF(BCA!$I$8=2,VMT.VHT.ADT.Trip.Tables!O16,IF(BCA!$I$8=3,VMT.VHT.ADT.Trip.Tables!O24,IF(BCA!$I$8=4,VMT.VHT.ADT.Trip.Tables!#REF!,IF(BCA!$I$8=5,VMT.VHT.ADT.Trip.Tables!#REF!)))))</f>
        <v>141336692.59420896</v>
      </c>
      <c r="S39" s="420">
        <f>IF(BCA!$I$8=1,VMT.VHT.ADT.Trip.Tables!P8,IF(BCA!$I$8=2,VMT.VHT.ADT.Trip.Tables!P16,IF(BCA!$I$8=3,VMT.VHT.ADT.Trip.Tables!P24,IF(BCA!$I$8=4,VMT.VHT.ADT.Trip.Tables!#REF!,IF(BCA!$I$8=5,VMT.VHT.ADT.Trip.Tables!#REF!)))))</f>
        <v>142800900.24370831</v>
      </c>
      <c r="T39" s="420">
        <f>IF(BCA!$I$8=1,VMT.VHT.ADT.Trip.Tables!Q8,IF(BCA!$I$8=2,VMT.VHT.ADT.Trip.Tables!Q16,IF(BCA!$I$8=3,VMT.VHT.ADT.Trip.Tables!Q24,IF(BCA!$I$8=4,VMT.VHT.ADT.Trip.Tables!#REF!,IF(BCA!$I$8=5,VMT.VHT.ADT.Trip.Tables!#REF!)))))</f>
        <v>144280276.66503546</v>
      </c>
      <c r="U39" s="420">
        <f>IF(BCA!$I$8=1,VMT.VHT.ADT.Trip.Tables!R8,IF(BCA!$I$8=2,VMT.VHT.ADT.Trip.Tables!R16,IF(BCA!$I$8=3,VMT.VHT.ADT.Trip.Tables!R24,IF(BCA!$I$8=4,VMT.VHT.ADT.Trip.Tables!#REF!,IF(BCA!$I$8=5,VMT.VHT.ADT.Trip.Tables!#REF!)))))</f>
        <v>145774979.00232136</v>
      </c>
      <c r="V39" s="420">
        <f>IF(BCA!$I$8=1,VMT.VHT.ADT.Trip.Tables!S8,IF(BCA!$I$8=2,VMT.VHT.ADT.Trip.Tables!S16,IF(BCA!$I$8=3,VMT.VHT.ADT.Trip.Tables!S24,IF(BCA!$I$8=4,VMT.VHT.ADT.Trip.Tables!#REF!,IF(BCA!$I$8=5,VMT.VHT.ADT.Trip.Tables!#REF!)))))</f>
        <v>147285166.02766532</v>
      </c>
      <c r="W39" s="420">
        <f>IF(BCA!$I$8=1,VMT.VHT.ADT.Trip.Tables!T8,IF(BCA!$I$8=2,VMT.VHT.ADT.Trip.Tables!T16,IF(BCA!$I$8=3,VMT.VHT.ADT.Trip.Tables!T24,IF(BCA!$I$8=4,VMT.VHT.ADT.Trip.Tables!#REF!,IF(BCA!$I$8=5,VMT.VHT.ADT.Trip.Tables!#REF!)))))</f>
        <v>148810998.15800005</v>
      </c>
      <c r="X39" s="420">
        <f>IF(BCA!$I$8=1,VMT.VHT.ADT.Trip.Tables!U8,IF(BCA!$I$8=2,VMT.VHT.ADT.Trip.Tables!U16,IF(BCA!$I$8=3,VMT.VHT.ADT.Trip.Tables!U24,IF(BCA!$I$8=4,VMT.VHT.ADT.Trip.Tables!#REF!,IF(BCA!$I$8=5,VMT.VHT.ADT.Trip.Tables!#REF!)))))</f>
        <v>150352637.47213176</v>
      </c>
      <c r="Y39" s="420">
        <f>IF(BCA!$I$8=1,VMT.VHT.ADT.Trip.Tables!V8,IF(BCA!$I$8=2,VMT.VHT.ADT.Trip.Tables!V16,IF(BCA!$I$8=3,VMT.VHT.ADT.Trip.Tables!V24,IF(BCA!$I$8=4,VMT.VHT.ADT.Trip.Tables!#REF!,IF(BCA!$I$8=5,VMT.VHT.ADT.Trip.Tables!#REF!)))))</f>
        <v>151910247.72795659</v>
      </c>
      <c r="Z39" s="420">
        <f>IF(BCA!$I$8=1,VMT.VHT.ADT.Trip.Tables!W8,IF(BCA!$I$8=2,VMT.VHT.ADT.Trip.Tables!W16,IF(BCA!$I$8=3,VMT.VHT.ADT.Trip.Tables!W24,IF(BCA!$I$8=4,VMT.VHT.ADT.Trip.Tables!#REF!,IF(BCA!$I$8=5,VMT.VHT.ADT.Trip.Tables!#REF!)))))</f>
        <v>153483994.37985557</v>
      </c>
      <c r="AA39" s="282">
        <v>153279642.74868509</v>
      </c>
    </row>
    <row r="40" spans="1:49" ht="15" x14ac:dyDescent="0.25">
      <c r="A40" s="418"/>
      <c r="B40" s="282" t="s">
        <v>564</v>
      </c>
      <c r="C40" s="421"/>
      <c r="D40" s="420"/>
      <c r="E40" s="420"/>
      <c r="F40" s="420">
        <f>IF(BCA!$I$8=1,VMT.VHT.ADT.Trip.Tables!C9,IF(BCA!$I$8=2,VMT.VHT.ADT.Trip.Tables!C17,IF(BCA!$I$8=3,VMT.VHT.ADT.Trip.Tables!C25,IF(BCA!$I$8=4,VMT.VHT.ADT.Trip.Tables!#REF!,IF(BCA!$I$8=5,VMT.VHT.ADT.Trip.Tables!#REF!)))))</f>
        <v>43316911.764705881</v>
      </c>
      <c r="G40" s="420">
        <f>IF(BCA!$I$8=1,VMT.VHT.ADT.Trip.Tables!D9,IF(BCA!$I$8=2,VMT.VHT.ADT.Trip.Tables!D17,IF(BCA!$I$8=3,VMT.VHT.ADT.Trip.Tables!D25,IF(BCA!$I$8=4,VMT.VHT.ADT.Trip.Tables!#REF!,IF(BCA!$I$8=5,VMT.VHT.ADT.Trip.Tables!#REF!)))))</f>
        <v>44290358.775713623</v>
      </c>
      <c r="H40" s="420">
        <f>IF(BCA!$I$8=1,VMT.VHT.ADT.Trip.Tables!E9,IF(BCA!$I$8=2,VMT.VHT.ADT.Trip.Tables!E17,IF(BCA!$I$8=3,VMT.VHT.ADT.Trip.Tables!E25,IF(BCA!$I$8=4,VMT.VHT.ADT.Trip.Tables!#REF!,IF(BCA!$I$8=5,VMT.VHT.ADT.Trip.Tables!#REF!)))))</f>
        <v>45285681.747971497</v>
      </c>
      <c r="I40" s="420">
        <f>IF(BCA!$I$8=1,VMT.VHT.ADT.Trip.Tables!F9,IF(BCA!$I$8=2,VMT.VHT.ADT.Trip.Tables!F17,IF(BCA!$I$8=3,VMT.VHT.ADT.Trip.Tables!F25,IF(BCA!$I$8=4,VMT.VHT.ADT.Trip.Tables!#REF!,IF(BCA!$I$8=5,VMT.VHT.ADT.Trip.Tables!#REF!)))))</f>
        <v>46303372.292913094</v>
      </c>
      <c r="J40" s="420">
        <f>IF(BCA!$I$8=1,VMT.VHT.ADT.Trip.Tables!G9,IF(BCA!$I$8=2,VMT.VHT.ADT.Trip.Tables!G17,IF(BCA!$I$8=3,VMT.VHT.ADT.Trip.Tables!G25,IF(BCA!$I$8=4,VMT.VHT.ADT.Trip.Tables!#REF!,IF(BCA!$I$8=5,VMT.VHT.ADT.Trip.Tables!#REF!)))))</f>
        <v>47343933.069797494</v>
      </c>
      <c r="K40" s="420">
        <f>IF(BCA!$I$8=1,VMT.VHT.ADT.Trip.Tables!H9,IF(BCA!$I$8=2,VMT.VHT.ADT.Trip.Tables!H17,IF(BCA!$I$8=3,VMT.VHT.ADT.Trip.Tables!H25,IF(BCA!$I$8=4,VMT.VHT.ADT.Trip.Tables!#REF!,IF(BCA!$I$8=5,VMT.VHT.ADT.Trip.Tables!#REF!)))))</f>
        <v>48407878.033983424</v>
      </c>
      <c r="L40" s="420">
        <f>IF(BCA!$I$8=1,VMT.VHT.ADT.Trip.Tables!I9,IF(BCA!$I$8=2,VMT.VHT.ADT.Trip.Tables!I17,IF(BCA!$I$8=3,VMT.VHT.ADT.Trip.Tables!I25,IF(BCA!$I$8=4,VMT.VHT.ADT.Trip.Tables!#REF!,IF(BCA!$I$8=5,VMT.VHT.ADT.Trip.Tables!#REF!)))))</f>
        <v>49495732.690782927</v>
      </c>
      <c r="M40" s="420">
        <f>IF(BCA!$I$8=1,VMT.VHT.ADT.Trip.Tables!J9,IF(BCA!$I$8=2,VMT.VHT.ADT.Trip.Tables!J17,IF(BCA!$I$8=3,VMT.VHT.ADT.Trip.Tables!J25,IF(BCA!$I$8=4,VMT.VHT.ADT.Trip.Tables!#REF!,IF(BCA!$I$8=5,VMT.VHT.ADT.Trip.Tables!#REF!)))))</f>
        <v>50608034.355019726</v>
      </c>
      <c r="N40" s="420">
        <f>IF(BCA!$I$8=1,VMT.VHT.ADT.Trip.Tables!K9,IF(BCA!$I$8=2,VMT.VHT.ADT.Trip.Tables!K17,IF(BCA!$I$8=3,VMT.VHT.ADT.Trip.Tables!K25,IF(BCA!$I$8=4,VMT.VHT.ADT.Trip.Tables!#REF!,IF(BCA!$I$8=5,VMT.VHT.ADT.Trip.Tables!#REF!)))))</f>
        <v>51745332.416420579</v>
      </c>
      <c r="O40" s="420">
        <f>IF(BCA!$I$8=1,VMT.VHT.ADT.Trip.Tables!L9,IF(BCA!$I$8=2,VMT.VHT.ADT.Trip.Tables!L17,IF(BCA!$I$8=3,VMT.VHT.ADT.Trip.Tables!L25,IF(BCA!$I$8=4,VMT.VHT.ADT.Trip.Tables!#REF!,IF(BCA!$I$8=5,VMT.VHT.ADT.Trip.Tables!#REF!)))))</f>
        <v>52908188.610970639</v>
      </c>
      <c r="P40" s="420">
        <f>IF(BCA!$I$8=1,VMT.VHT.ADT.Trip.Tables!M9,IF(BCA!$I$8=2,VMT.VHT.ADT.Trip.Tables!M17,IF(BCA!$I$8=3,VMT.VHT.ADT.Trip.Tables!M25,IF(BCA!$I$8=4,VMT.VHT.ADT.Trip.Tables!#REF!,IF(BCA!$I$8=5,VMT.VHT.ADT.Trip.Tables!#REF!)))))</f>
        <v>54097177.298367038</v>
      </c>
      <c r="Q40" s="420">
        <f>IF(BCA!$I$8=1,VMT.VHT.ADT.Trip.Tables!N9,IF(BCA!$I$8=2,VMT.VHT.ADT.Trip.Tables!N17,IF(BCA!$I$8=3,VMT.VHT.ADT.Trip.Tables!N25,IF(BCA!$I$8=4,VMT.VHT.ADT.Trip.Tables!#REF!,IF(BCA!$I$8=5,VMT.VHT.ADT.Trip.Tables!#REF!)))))</f>
        <v>55312885.74570743</v>
      </c>
      <c r="R40" s="420">
        <f>IF(BCA!$I$8=1,VMT.VHT.ADT.Trip.Tables!O9,IF(BCA!$I$8=2,VMT.VHT.ADT.Trip.Tables!O17,IF(BCA!$I$8=3,VMT.VHT.ADT.Trip.Tables!O25,IF(BCA!$I$8=4,VMT.VHT.ADT.Trip.Tables!#REF!,IF(BCA!$I$8=5,VMT.VHT.ADT.Trip.Tables!#REF!)))))</f>
        <v>56555914.417553887</v>
      </c>
      <c r="S40" s="420">
        <f>IF(BCA!$I$8=1,VMT.VHT.ADT.Trip.Tables!P9,IF(BCA!$I$8=2,VMT.VHT.ADT.Trip.Tables!P17,IF(BCA!$I$8=3,VMT.VHT.ADT.Trip.Tables!P25,IF(BCA!$I$8=4,VMT.VHT.ADT.Trip.Tables!#REF!,IF(BCA!$I$8=5,VMT.VHT.ADT.Trip.Tables!#REF!)))))</f>
        <v>57826877.272515193</v>
      </c>
      <c r="T40" s="420">
        <f>IF(BCA!$I$8=1,VMT.VHT.ADT.Trip.Tables!Q9,IF(BCA!$I$8=2,VMT.VHT.ADT.Trip.Tables!Q17,IF(BCA!$I$8=3,VMT.VHT.ADT.Trip.Tables!Q25,IF(BCA!$I$8=4,VMT.VHT.ADT.Trip.Tables!#REF!,IF(BCA!$I$8=5,VMT.VHT.ADT.Trip.Tables!#REF!)))))</f>
        <v>59126402.066494316</v>
      </c>
      <c r="U40" s="420">
        <f>IF(BCA!$I$8=1,VMT.VHT.ADT.Trip.Tables!R9,IF(BCA!$I$8=2,VMT.VHT.ADT.Trip.Tables!R17,IF(BCA!$I$8=3,VMT.VHT.ADT.Trip.Tables!R25,IF(BCA!$I$8=4,VMT.VHT.ADT.Trip.Tables!#REF!,IF(BCA!$I$8=5,VMT.VHT.ADT.Trip.Tables!#REF!)))))</f>
        <v>60455130.662750512</v>
      </c>
      <c r="V40" s="420">
        <f>IF(BCA!$I$8=1,VMT.VHT.ADT.Trip.Tables!S9,IF(BCA!$I$8=2,VMT.VHT.ADT.Trip.Tables!S17,IF(BCA!$I$8=3,VMT.VHT.ADT.Trip.Tables!S25,IF(BCA!$I$8=4,VMT.VHT.ADT.Trip.Tables!#REF!,IF(BCA!$I$8=5,VMT.VHT.ADT.Trip.Tables!#REF!)))))</f>
        <v>61813719.348929383</v>
      </c>
      <c r="W40" s="420">
        <f>IF(BCA!$I$8=1,VMT.VHT.ADT.Trip.Tables!T9,IF(BCA!$I$8=2,VMT.VHT.ADT.Trip.Tables!T17,IF(BCA!$I$8=3,VMT.VHT.ADT.Trip.Tables!T25,IF(BCA!$I$8=4,VMT.VHT.ADT.Trip.Tables!#REF!,IF(BCA!$I$8=5,VMT.VHT.ADT.Trip.Tables!#REF!)))))</f>
        <v>63202839.161217436</v>
      </c>
      <c r="X40" s="420">
        <f>IF(BCA!$I$8=1,VMT.VHT.ADT.Trip.Tables!U9,IF(BCA!$I$8=2,VMT.VHT.ADT.Trip.Tables!U17,IF(BCA!$I$8=3,VMT.VHT.ADT.Trip.Tables!U25,IF(BCA!$I$8=4,VMT.VHT.ADT.Trip.Tables!#REF!,IF(BCA!$I$8=5,VMT.VHT.ADT.Trip.Tables!#REF!)))))</f>
        <v>64623176.21578142</v>
      </c>
      <c r="Y40" s="420">
        <f>IF(BCA!$I$8=1,VMT.VHT.ADT.Trip.Tables!V9,IF(BCA!$I$8=2,VMT.VHT.ADT.Trip.Tables!V17,IF(BCA!$I$8=3,VMT.VHT.ADT.Trip.Tables!V25,IF(BCA!$I$8=4,VMT.VHT.ADT.Trip.Tables!#REF!,IF(BCA!$I$8=5,VMT.VHT.ADT.Trip.Tables!#REF!)))))</f>
        <v>66075432.047655731</v>
      </c>
      <c r="Z40" s="420">
        <f>IF(BCA!$I$8=1,VMT.VHT.ADT.Trip.Tables!W9,IF(BCA!$I$8=2,VMT.VHT.ADT.Trip.Tables!W17,IF(BCA!$I$8=3,VMT.VHT.ADT.Trip.Tables!W25,IF(BCA!$I$8=4,VMT.VHT.ADT.Trip.Tables!#REF!,IF(BCA!$I$8=5,VMT.VHT.ADT.Trip.Tables!#REF!)))))</f>
        <v>67560323.957245752</v>
      </c>
      <c r="AA40" s="282">
        <v>58448026.761194296</v>
      </c>
    </row>
    <row r="41" spans="1:49" ht="15" x14ac:dyDescent="0.25">
      <c r="A41" s="418"/>
      <c r="B41" s="282" t="s">
        <v>464</v>
      </c>
      <c r="C41" s="419"/>
      <c r="D41" s="420"/>
      <c r="E41" s="420"/>
      <c r="F41" s="420">
        <f t="shared" ref="F41:W41" si="22">SUM(F37:F40)</f>
        <v>753641417.22950721</v>
      </c>
      <c r="G41" s="420">
        <f t="shared" si="22"/>
        <v>760439800.9457593</v>
      </c>
      <c r="H41" s="420">
        <f t="shared" si="22"/>
        <v>767316502.21058416</v>
      </c>
      <c r="I41" s="420">
        <f t="shared" si="22"/>
        <v>774272589.70020688</v>
      </c>
      <c r="J41" s="420">
        <f t="shared" si="22"/>
        <v>781309149.12747705</v>
      </c>
      <c r="K41" s="420">
        <f t="shared" si="22"/>
        <v>788427283.55254531</v>
      </c>
      <c r="L41" s="420">
        <f t="shared" si="22"/>
        <v>795628113.69976592</v>
      </c>
      <c r="M41" s="420">
        <f t="shared" si="22"/>
        <v>802912778.28096664</v>
      </c>
      <c r="N41" s="420">
        <f t="shared" si="22"/>
        <v>810282434.32521117</v>
      </c>
      <c r="O41" s="420">
        <f t="shared" si="22"/>
        <v>817738257.51520145</v>
      </c>
      <c r="P41" s="420">
        <f t="shared" si="22"/>
        <v>825281442.53045309</v>
      </c>
      <c r="Q41" s="420">
        <f t="shared" si="22"/>
        <v>832913203.3973943</v>
      </c>
      <c r="R41" s="420">
        <f t="shared" si="22"/>
        <v>840634773.84653032</v>
      </c>
      <c r="S41" s="420">
        <f t="shared" si="22"/>
        <v>848447407.67682779</v>
      </c>
      <c r="T41" s="420">
        <f t="shared" si="22"/>
        <v>856352379.12747085</v>
      </c>
      <c r="U41" s="420">
        <f t="shared" si="22"/>
        <v>864350983.25714695</v>
      </c>
      <c r="V41" s="420">
        <f t="shared" si="22"/>
        <v>872444536.33102226</v>
      </c>
      <c r="W41" s="420">
        <f t="shared" si="22"/>
        <v>880634376.2155714</v>
      </c>
      <c r="X41" s="420">
        <f t="shared" ref="X41:Z41" si="23">SUM(X37:X40)</f>
        <v>888921862.78142834</v>
      </c>
      <c r="Y41" s="420">
        <f t="shared" si="23"/>
        <v>897308378.31443202</v>
      </c>
      <c r="Z41" s="420">
        <f t="shared" si="23"/>
        <v>905795327.93503916</v>
      </c>
    </row>
    <row r="42" spans="1:49" s="282" customFormat="1" ht="15" x14ac:dyDescent="0.25">
      <c r="A42" s="414"/>
      <c r="D42" s="729"/>
      <c r="E42" s="729"/>
      <c r="F42" s="729"/>
      <c r="G42" s="729"/>
      <c r="H42" s="729"/>
      <c r="I42" s="729"/>
      <c r="J42" s="729"/>
      <c r="K42" s="729"/>
      <c r="L42" s="729"/>
      <c r="M42" s="729"/>
      <c r="N42" s="729"/>
      <c r="O42" s="729"/>
      <c r="P42" s="729"/>
      <c r="Q42" s="729"/>
      <c r="R42" s="729"/>
      <c r="S42" s="729"/>
      <c r="T42" s="729"/>
      <c r="U42" s="729"/>
      <c r="V42" s="729"/>
      <c r="W42" s="420"/>
      <c r="X42" s="420"/>
      <c r="Y42" s="420"/>
      <c r="Z42" s="420"/>
      <c r="AB42" s="415"/>
      <c r="AC42" s="415"/>
      <c r="AD42" s="415"/>
      <c r="AE42" s="415"/>
      <c r="AF42" s="415"/>
      <c r="AG42" s="415"/>
      <c r="AH42" s="415"/>
      <c r="AI42" s="415"/>
      <c r="AJ42" s="415"/>
      <c r="AK42" s="415"/>
      <c r="AL42" s="415"/>
      <c r="AM42" s="415"/>
      <c r="AN42" s="415"/>
      <c r="AO42" s="415"/>
      <c r="AP42" s="415"/>
      <c r="AQ42" s="415"/>
      <c r="AR42" s="415"/>
      <c r="AS42" s="415"/>
      <c r="AT42" s="415"/>
      <c r="AU42" s="415"/>
      <c r="AV42" s="415"/>
      <c r="AW42" s="415"/>
    </row>
    <row r="43" spans="1:49" s="282" customFormat="1" ht="21.75" thickBot="1" x14ac:dyDescent="0.3">
      <c r="A43" s="414"/>
      <c r="B43" s="1011" t="str">
        <f>IF(BCA!I8=1,BCA!H5,IF(BCA!I8=2,BCA!H6,IF(BCA!I8=3,BCA!H7,IF(BCA!I8=4,BCA!#REF!,IF(BCA!I8=5,"error")))))</f>
        <v>6-Lane CD SDI</v>
      </c>
      <c r="C43" s="1919" t="s">
        <v>572</v>
      </c>
      <c r="D43" s="1919"/>
      <c r="E43" s="1919"/>
      <c r="F43" s="1919"/>
      <c r="G43" s="1919"/>
      <c r="H43" s="1919"/>
      <c r="I43" s="1919"/>
      <c r="J43" s="1919"/>
      <c r="K43" s="1919"/>
      <c r="L43" s="1919"/>
      <c r="M43" s="1919"/>
      <c r="N43" s="1919"/>
      <c r="O43" s="1919"/>
      <c r="P43" s="1919"/>
      <c r="Q43" s="1919"/>
      <c r="R43" s="1919"/>
      <c r="S43" s="1919"/>
      <c r="T43" s="1919"/>
      <c r="U43" s="1919"/>
      <c r="V43" s="1919"/>
      <c r="W43" s="1919"/>
      <c r="X43" s="1427"/>
      <c r="Y43" s="1427"/>
      <c r="Z43" s="1427"/>
      <c r="AB43" s="415"/>
      <c r="AC43" s="415"/>
      <c r="AD43" s="415"/>
      <c r="AE43" s="415"/>
      <c r="AF43" s="415"/>
      <c r="AG43" s="415"/>
      <c r="AH43" s="415"/>
      <c r="AI43" s="415"/>
      <c r="AJ43" s="415"/>
      <c r="AK43" s="415"/>
      <c r="AL43" s="415"/>
      <c r="AM43" s="415"/>
      <c r="AN43" s="415"/>
      <c r="AO43" s="415"/>
      <c r="AP43" s="415"/>
      <c r="AQ43" s="415"/>
      <c r="AR43" s="415"/>
      <c r="AS43" s="415"/>
      <c r="AT43" s="415"/>
      <c r="AU43" s="415"/>
      <c r="AV43" s="415"/>
      <c r="AW43" s="415"/>
    </row>
    <row r="44" spans="1:49" s="282" customFormat="1" ht="15.75" thickBot="1" x14ac:dyDescent="0.3">
      <c r="A44" s="414"/>
      <c r="C44" s="417">
        <v>2020</v>
      </c>
      <c r="D44" s="417">
        <f>C44+1</f>
        <v>2021</v>
      </c>
      <c r="E44" s="417">
        <f t="shared" ref="E44:W44" si="24">D44+1</f>
        <v>2022</v>
      </c>
      <c r="F44" s="417">
        <f t="shared" si="24"/>
        <v>2023</v>
      </c>
      <c r="G44" s="417">
        <f t="shared" si="24"/>
        <v>2024</v>
      </c>
      <c r="H44" s="417">
        <f t="shared" si="24"/>
        <v>2025</v>
      </c>
      <c r="I44" s="417">
        <f t="shared" si="24"/>
        <v>2026</v>
      </c>
      <c r="J44" s="417">
        <f t="shared" si="24"/>
        <v>2027</v>
      </c>
      <c r="K44" s="417">
        <f t="shared" si="24"/>
        <v>2028</v>
      </c>
      <c r="L44" s="417">
        <f t="shared" si="24"/>
        <v>2029</v>
      </c>
      <c r="M44" s="417">
        <f t="shared" si="24"/>
        <v>2030</v>
      </c>
      <c r="N44" s="417">
        <f t="shared" si="24"/>
        <v>2031</v>
      </c>
      <c r="O44" s="417">
        <f t="shared" si="24"/>
        <v>2032</v>
      </c>
      <c r="P44" s="417">
        <f t="shared" si="24"/>
        <v>2033</v>
      </c>
      <c r="Q44" s="417">
        <f t="shared" si="24"/>
        <v>2034</v>
      </c>
      <c r="R44" s="417">
        <f t="shared" si="24"/>
        <v>2035</v>
      </c>
      <c r="S44" s="417">
        <f t="shared" si="24"/>
        <v>2036</v>
      </c>
      <c r="T44" s="417">
        <f t="shared" si="24"/>
        <v>2037</v>
      </c>
      <c r="U44" s="417">
        <f t="shared" si="24"/>
        <v>2038</v>
      </c>
      <c r="V44" s="417">
        <f t="shared" si="24"/>
        <v>2039</v>
      </c>
      <c r="W44" s="417">
        <f t="shared" si="24"/>
        <v>2040</v>
      </c>
      <c r="X44" s="417">
        <f t="shared" ref="X44:Z44" si="25">W44+1</f>
        <v>2041</v>
      </c>
      <c r="Y44" s="417">
        <f t="shared" si="25"/>
        <v>2042</v>
      </c>
      <c r="Z44" s="417">
        <f t="shared" si="25"/>
        <v>2043</v>
      </c>
      <c r="AB44" s="415"/>
      <c r="AC44" s="415"/>
      <c r="AD44" s="415"/>
      <c r="AE44" s="415"/>
      <c r="AF44" s="415"/>
      <c r="AG44" s="415"/>
      <c r="AH44" s="415"/>
      <c r="AI44" s="415"/>
      <c r="AJ44" s="415"/>
      <c r="AK44" s="415"/>
      <c r="AL44" s="415"/>
      <c r="AM44" s="415"/>
      <c r="AN44" s="415"/>
      <c r="AO44" s="415"/>
      <c r="AP44" s="415"/>
      <c r="AQ44" s="415"/>
      <c r="AR44" s="415"/>
      <c r="AS44" s="415"/>
      <c r="AT44" s="415"/>
      <c r="AU44" s="415"/>
      <c r="AV44" s="415"/>
      <c r="AW44" s="415"/>
    </row>
    <row r="45" spans="1:49" s="282" customFormat="1" ht="15" x14ac:dyDescent="0.25">
      <c r="A45" s="414"/>
      <c r="B45" s="282" t="s">
        <v>565</v>
      </c>
      <c r="C45" s="421"/>
      <c r="D45" s="420"/>
      <c r="E45" s="420"/>
      <c r="F45" s="420">
        <f>IF(BCA!$I$8=1,VMT.VHT.ADT.Trip.Tables!C32,IF(BCA!$I$8=2,VMT.VHT.ADT.Trip.Tables!C40,IF(BCA!$I$8=3,VMT.VHT.ADT.Trip.Tables!C48,IF(BCA!$I$8=4,VMT.VHT.ADT.Trip.Tables!#REF!,IF(BCA!$I$8=5,VMT.VHT.ADT.Trip.Tables!#REF!)))))</f>
        <v>8469045.2065612637</v>
      </c>
      <c r="G45" s="420">
        <f>IF(BCA!$I$8=1,VMT.VHT.ADT.Trip.Tables!D32,IF(BCA!$I$8=2,VMT.VHT.ADT.Trip.Tables!D40,IF(BCA!$I$8=3,VMT.VHT.ADT.Trip.Tables!D48,IF(BCA!$I$8=4,VMT.VHT.ADT.Trip.Tables!#REF!,IF(BCA!$I$8=5,VMT.VHT.ADT.Trip.Tables!#REF!)))))</f>
        <v>8669953.5787617825</v>
      </c>
      <c r="H45" s="420">
        <f>IF(BCA!$I$8=1,VMT.VHT.ADT.Trip.Tables!E32,IF(BCA!$I$8=2,VMT.VHT.ADT.Trip.Tables!E40,IF(BCA!$I$8=3,VMT.VHT.ADT.Trip.Tables!E48,IF(BCA!$I$8=4,VMT.VHT.ADT.Trip.Tables!#REF!,IF(BCA!$I$8=5,VMT.VHT.ADT.Trip.Tables!#REF!)))))</f>
        <v>8875628.0341553614</v>
      </c>
      <c r="I45" s="420">
        <f>IF(BCA!$I$8=1,VMT.VHT.ADT.Trip.Tables!F32,IF(BCA!$I$8=2,VMT.VHT.ADT.Trip.Tables!F40,IF(BCA!$I$8=3,VMT.VHT.ADT.Trip.Tables!F48,IF(BCA!$I$8=4,VMT.VHT.ADT.Trip.Tables!#REF!,IF(BCA!$I$8=5,VMT.VHT.ADT.Trip.Tables!#REF!)))))</f>
        <v>9086181.6369650308</v>
      </c>
      <c r="J45" s="420">
        <f>IF(BCA!$I$8=1,VMT.VHT.ADT.Trip.Tables!G32,IF(BCA!$I$8=2,VMT.VHT.ADT.Trip.Tables!G40,IF(BCA!$I$8=3,VMT.VHT.ADT.Trip.Tables!G48,IF(BCA!$I$8=4,VMT.VHT.ADT.Trip.Tables!#REF!,IF(BCA!$I$8=5,VMT.VHT.ADT.Trip.Tables!#REF!)))))</f>
        <v>9301730.1335991733</v>
      </c>
      <c r="K45" s="420">
        <f>IF(BCA!$I$8=1,VMT.VHT.ADT.Trip.Tables!H32,IF(BCA!$I$8=2,VMT.VHT.ADT.Trip.Tables!H40,IF(BCA!$I$8=3,VMT.VHT.ADT.Trip.Tables!H48,IF(BCA!$I$8=4,VMT.VHT.ADT.Trip.Tables!#REF!,IF(BCA!$I$8=5,VMT.VHT.ADT.Trip.Tables!#REF!)))))</f>
        <v>9522392.0162801277</v>
      </c>
      <c r="L45" s="420">
        <f>IF(BCA!$I$8=1,VMT.VHT.ADT.Trip.Tables!I32,IF(BCA!$I$8=2,VMT.VHT.ADT.Trip.Tables!I40,IF(BCA!$I$8=3,VMT.VHT.ADT.Trip.Tables!I48,IF(BCA!$I$8=4,VMT.VHT.ADT.Trip.Tables!#REF!,IF(BCA!$I$8=5,VMT.VHT.ADT.Trip.Tables!#REF!)))))</f>
        <v>9748288.5881822221</v>
      </c>
      <c r="M45" s="420">
        <f>IF(BCA!$I$8=1,VMT.VHT.ADT.Trip.Tables!J32,IF(BCA!$I$8=2,VMT.VHT.ADT.Trip.Tables!J40,IF(BCA!$I$8=3,VMT.VHT.ADT.Trip.Tables!J48,IF(BCA!$I$8=4,VMT.VHT.ADT.Trip.Tables!#REF!,IF(BCA!$I$8=5,VMT.VHT.ADT.Trip.Tables!#REF!)))))</f>
        <v>9979544.030115068</v>
      </c>
      <c r="N45" s="420">
        <f>IF(BCA!$I$8=1,VMT.VHT.ADT.Trip.Tables!K32,IF(BCA!$I$8=2,VMT.VHT.ADT.Trip.Tables!K40,IF(BCA!$I$8=3,VMT.VHT.ADT.Trip.Tables!K48,IF(BCA!$I$8=4,VMT.VHT.ADT.Trip.Tables!#REF!,IF(BCA!$I$8=5,VMT.VHT.ADT.Trip.Tables!#REF!)))))</f>
        <v>10216285.468788756</v>
      </c>
      <c r="O45" s="420">
        <f>IF(BCA!$I$8=1,VMT.VHT.ADT.Trip.Tables!L32,IF(BCA!$I$8=2,VMT.VHT.ADT.Trip.Tables!L40,IF(BCA!$I$8=3,VMT.VHT.ADT.Trip.Tables!L48,IF(BCA!$I$8=4,VMT.VHT.ADT.Trip.Tables!#REF!,IF(BCA!$I$8=5,VMT.VHT.ADT.Trip.Tables!#REF!)))))</f>
        <v>10458643.046698483</v>
      </c>
      <c r="P45" s="420">
        <f>IF(BCA!$I$8=1,VMT.VHT.ADT.Trip.Tables!M32,IF(BCA!$I$8=2,VMT.VHT.ADT.Trip.Tables!M40,IF(BCA!$I$8=3,VMT.VHT.ADT.Trip.Tables!M48,IF(BCA!$I$8=4,VMT.VHT.ADT.Trip.Tables!#REF!,IF(BCA!$I$8=5,VMT.VHT.ADT.Trip.Tables!#REF!)))))</f>
        <v>10706749.993667021</v>
      </c>
      <c r="Q45" s="420">
        <f>IF(BCA!$I$8=1,VMT.VHT.ADT.Trip.Tables!N32,IF(BCA!$I$8=2,VMT.VHT.ADT.Trip.Tables!N40,IF(BCA!$I$8=3,VMT.VHT.ADT.Trip.Tables!N48,IF(BCA!$I$8=4,VMT.VHT.ADT.Trip.Tables!#REF!,IF(BCA!$I$8=5,VMT.VHT.ADT.Trip.Tables!#REF!)))))</f>
        <v>10960742.700084392</v>
      </c>
      <c r="R45" s="420">
        <f>IF(BCA!$I$8=1,VMT.VHT.ADT.Trip.Tables!O32,IF(BCA!$I$8=2,VMT.VHT.ADT.Trip.Tables!O40,IF(BCA!$I$8=3,VMT.VHT.ADT.Trip.Tables!O48,IF(BCA!$I$8=4,VMT.VHT.ADT.Trip.Tables!#REF!,IF(BCA!$I$8=5,VMT.VHT.ADT.Trip.Tables!#REF!)))))</f>
        <v>11220760.791884942</v>
      </c>
      <c r="S45" s="420">
        <f>IF(BCA!$I$8=1,VMT.VHT.ADT.Trip.Tables!P32,IF(BCA!$I$8=2,VMT.VHT.ADT.Trip.Tables!P40,IF(BCA!$I$8=3,VMT.VHT.ADT.Trip.Tables!P48,IF(BCA!$I$8=4,VMT.VHT.ADT.Trip.Tables!#REF!,IF(BCA!$I$8=5,VMT.VHT.ADT.Trip.Tables!#REF!)))))</f>
        <v>11486947.207303116</v>
      </c>
      <c r="T45" s="420">
        <f>IF(BCA!$I$8=1,VMT.VHT.ADT.Trip.Tables!Q32,IF(BCA!$I$8=2,VMT.VHT.ADT.Trip.Tables!Q40,IF(BCA!$I$8=3,VMT.VHT.ADT.Trip.Tables!Q48,IF(BCA!$I$8=4,VMT.VHT.ADT.Trip.Tables!#REF!,IF(BCA!$I$8=5,VMT.VHT.ADT.Trip.Tables!#REF!)))))</f>
        <v>11759448.275450043</v>
      </c>
      <c r="U45" s="420">
        <f>IF(BCA!$I$8=1,VMT.VHT.ADT.Trip.Tables!R32,IF(BCA!$I$8=2,VMT.VHT.ADT.Trip.Tables!R40,IF(BCA!$I$8=3,VMT.VHT.ADT.Trip.Tables!R48,IF(BCA!$I$8=4,VMT.VHT.ADT.Trip.Tables!#REF!,IF(BCA!$I$8=5,VMT.VHT.ADT.Trip.Tables!#REF!)))))</f>
        <v>12038413.796754204</v>
      </c>
      <c r="V45" s="420">
        <f>IF(BCA!$I$8=1,VMT.VHT.ADT.Trip.Tables!S32,IF(BCA!$I$8=2,VMT.VHT.ADT.Trip.Tables!S40,IF(BCA!$I$8=3,VMT.VHT.ADT.Trip.Tables!S48,IF(BCA!$I$8=4,VMT.VHT.ADT.Trip.Tables!#REF!,IF(BCA!$I$8=5,VMT.VHT.ADT.Trip.Tables!#REF!)))))</f>
        <v>12323997.125310337</v>
      </c>
      <c r="W45" s="420">
        <f>IF(BCA!$I$8=1,VMT.VHT.ADT.Trip.Tables!T32,IF(BCA!$I$8=2,VMT.VHT.ADT.Trip.Tables!T40,IF(BCA!$I$8=3,VMT.VHT.ADT.Trip.Tables!T48,IF(BCA!$I$8=4,VMT.VHT.ADT.Trip.Tables!#REF!,IF(BCA!$I$8=5,VMT.VHT.ADT.Trip.Tables!#REF!)))))</f>
        <v>12616355.253181908</v>
      </c>
      <c r="X45" s="420">
        <f>IF(BCA!$I$8=1,VMT.VHT.ADT.Trip.Tables!U32,IF(BCA!$I$8=2,VMT.VHT.ADT.Trip.Tables!U40,IF(BCA!$I$8=3,VMT.VHT.ADT.Trip.Tables!U48,IF(BCA!$I$8=4,VMT.VHT.ADT.Trip.Tables!#REF!,IF(BCA!$I$8=5,VMT.VHT.ADT.Trip.Tables!#REF!)))))</f>
        <v>12915648.896703433</v>
      </c>
      <c r="Y45" s="420">
        <f>IF(BCA!$I$8=1,VMT.VHT.ADT.Trip.Tables!V32,IF(BCA!$I$8=2,VMT.VHT.ADT.Trip.Tables!V40,IF(BCA!$I$8=3,VMT.VHT.ADT.Trip.Tables!V48,IF(BCA!$I$8=4,VMT.VHT.ADT.Trip.Tables!#REF!,IF(BCA!$I$8=5,VMT.VHT.ADT.Trip.Tables!#REF!)))))</f>
        <v>13222042.584830141</v>
      </c>
      <c r="Z45" s="420">
        <f>IF(BCA!$I$8=1,VMT.VHT.ADT.Trip.Tables!W32,IF(BCA!$I$8=2,VMT.VHT.ADT.Trip.Tables!W40,IF(BCA!$I$8=3,VMT.VHT.ADT.Trip.Tables!W48,IF(BCA!$I$8=4,VMT.VHT.ADT.Trip.Tables!#REF!,IF(BCA!$I$8=5,VMT.VHT.ADT.Trip.Tables!#REF!)))))</f>
        <v>13535704.749583511</v>
      </c>
      <c r="AA45" s="282">
        <v>11995617.574957952</v>
      </c>
      <c r="AB45" s="415"/>
      <c r="AC45" s="415"/>
      <c r="AD45" s="415"/>
      <c r="AE45" s="415"/>
      <c r="AF45" s="415"/>
      <c r="AG45" s="415"/>
      <c r="AH45" s="415"/>
      <c r="AI45" s="415"/>
      <c r="AJ45" s="415"/>
      <c r="AK45" s="415"/>
      <c r="AL45" s="415"/>
      <c r="AM45" s="415"/>
      <c r="AN45" s="415"/>
      <c r="AO45" s="415"/>
      <c r="AP45" s="415"/>
      <c r="AQ45" s="415"/>
      <c r="AR45" s="415"/>
      <c r="AS45" s="415"/>
      <c r="AT45" s="415"/>
      <c r="AU45" s="415"/>
      <c r="AV45" s="415"/>
      <c r="AW45" s="415"/>
    </row>
    <row r="46" spans="1:49" s="282" customFormat="1" ht="15" x14ac:dyDescent="0.25">
      <c r="A46" s="414"/>
      <c r="B46" s="282" t="s">
        <v>566</v>
      </c>
      <c r="C46" s="421"/>
      <c r="D46" s="420"/>
      <c r="E46" s="420"/>
      <c r="F46" s="420">
        <f>IF(BCA!$I$8=1,VMT.VHT.ADT.Trip.Tables!C33,IF(BCA!$I$8=2,VMT.VHT.ADT.Trip.Tables!C41,IF(BCA!$I$8=3,VMT.VHT.ADT.Trip.Tables!C49,IF(BCA!$I$8=4,VMT.VHT.ADT.Trip.Tables!#REF!,IF(BCA!$I$8=5,VMT.VHT.ADT.Trip.Tables!#REF!)))))</f>
        <v>4593359.8318302492</v>
      </c>
      <c r="G46" s="420">
        <f>IF(BCA!$I$8=1,VMT.VHT.ADT.Trip.Tables!D33,IF(BCA!$I$8=2,VMT.VHT.ADT.Trip.Tables!D41,IF(BCA!$I$8=3,VMT.VHT.ADT.Trip.Tables!D49,IF(BCA!$I$8=4,VMT.VHT.ADT.Trip.Tables!#REF!,IF(BCA!$I$8=5,VMT.VHT.ADT.Trip.Tables!#REF!)))))</f>
        <v>4666563.3627820546</v>
      </c>
      <c r="H46" s="420">
        <f>IF(BCA!$I$8=1,VMT.VHT.ADT.Trip.Tables!E33,IF(BCA!$I$8=2,VMT.VHT.ADT.Trip.Tables!E41,IF(BCA!$I$8=3,VMT.VHT.ADT.Trip.Tables!E49,IF(BCA!$I$8=4,VMT.VHT.ADT.Trip.Tables!#REF!,IF(BCA!$I$8=5,VMT.VHT.ADT.Trip.Tables!#REF!)))))</f>
        <v>4740933.5249450002</v>
      </c>
      <c r="I46" s="420">
        <f>IF(BCA!$I$8=1,VMT.VHT.ADT.Trip.Tables!F33,IF(BCA!$I$8=2,VMT.VHT.ADT.Trip.Tables!F41,IF(BCA!$I$8=3,VMT.VHT.ADT.Trip.Tables!F49,IF(BCA!$I$8=4,VMT.VHT.ADT.Trip.Tables!#REF!,IF(BCA!$I$8=5,VMT.VHT.ADT.Trip.Tables!#REF!)))))</f>
        <v>4816488.9107061625</v>
      </c>
      <c r="J46" s="420">
        <f>IF(BCA!$I$8=1,VMT.VHT.ADT.Trip.Tables!G33,IF(BCA!$I$8=2,VMT.VHT.ADT.Trip.Tables!G41,IF(BCA!$I$8=3,VMT.VHT.ADT.Trip.Tables!G49,IF(BCA!$I$8=4,VMT.VHT.ADT.Trip.Tables!#REF!,IF(BCA!$I$8=5,VMT.VHT.ADT.Trip.Tables!#REF!)))))</f>
        <v>4893248.4087560717</v>
      </c>
      <c r="K46" s="420">
        <f>IF(BCA!$I$8=1,VMT.VHT.ADT.Trip.Tables!H33,IF(BCA!$I$8=2,VMT.VHT.ADT.Trip.Tables!H41,IF(BCA!$I$8=3,VMT.VHT.ADT.Trip.Tables!H49,IF(BCA!$I$8=4,VMT.VHT.ADT.Trip.Tables!#REF!,IF(BCA!$I$8=5,VMT.VHT.ADT.Trip.Tables!#REF!)))))</f>
        <v>4971231.2088108454</v>
      </c>
      <c r="L46" s="420">
        <f>IF(BCA!$I$8=1,VMT.VHT.ADT.Trip.Tables!I33,IF(BCA!$I$8=2,VMT.VHT.ADT.Trip.Tables!I41,IF(BCA!$I$8=3,VMT.VHT.ADT.Trip.Tables!I49,IF(BCA!$I$8=4,VMT.VHT.ADT.Trip.Tables!#REF!,IF(BCA!$I$8=5,VMT.VHT.ADT.Trip.Tables!#REF!)))))</f>
        <v>5050456.8064095778</v>
      </c>
      <c r="M46" s="420">
        <f>IF(BCA!$I$8=1,VMT.VHT.ADT.Trip.Tables!J33,IF(BCA!$I$8=2,VMT.VHT.ADT.Trip.Tables!J41,IF(BCA!$I$8=3,VMT.VHT.ADT.Trip.Tables!J49,IF(BCA!$I$8=4,VMT.VHT.ADT.Trip.Tables!#REF!,IF(BCA!$I$8=5,VMT.VHT.ADT.Trip.Tables!#REF!)))))</f>
        <v>5130945.007788185</v>
      </c>
      <c r="N46" s="420">
        <f>IF(BCA!$I$8=1,VMT.VHT.ADT.Trip.Tables!K33,IF(BCA!$I$8=2,VMT.VHT.ADT.Trip.Tables!K41,IF(BCA!$I$8=3,VMT.VHT.ADT.Trip.Tables!K49,IF(BCA!$I$8=4,VMT.VHT.ADT.Trip.Tables!#REF!,IF(BCA!$I$8=5,VMT.VHT.ADT.Trip.Tables!#REF!)))))</f>
        <v>5212715.9348309217</v>
      </c>
      <c r="O46" s="420">
        <f>IF(BCA!$I$8=1,VMT.VHT.ADT.Trip.Tables!L33,IF(BCA!$I$8=2,VMT.VHT.ADT.Trip.Tables!L41,IF(BCA!$I$8=3,VMT.VHT.ADT.Trip.Tables!L49,IF(BCA!$I$8=4,VMT.VHT.ADT.Trip.Tables!#REF!,IF(BCA!$I$8=5,VMT.VHT.ADT.Trip.Tables!#REF!)))))</f>
        <v>5295790.0301008141</v>
      </c>
      <c r="P46" s="420">
        <f>IF(BCA!$I$8=1,VMT.VHT.ADT.Trip.Tables!M33,IF(BCA!$I$8=2,VMT.VHT.ADT.Trip.Tables!M41,IF(BCA!$I$8=3,VMT.VHT.ADT.Trip.Tables!M49,IF(BCA!$I$8=4,VMT.VHT.ADT.Trip.Tables!#REF!,IF(BCA!$I$8=5,VMT.VHT.ADT.Trip.Tables!#REF!)))))</f>
        <v>5380188.0619502533</v>
      </c>
      <c r="Q46" s="420">
        <f>IF(BCA!$I$8=1,VMT.VHT.ADT.Trip.Tables!N33,IF(BCA!$I$8=2,VMT.VHT.ADT.Trip.Tables!N41,IF(BCA!$I$8=3,VMT.VHT.ADT.Trip.Tables!N49,IF(BCA!$I$8=4,VMT.VHT.ADT.Trip.Tables!#REF!,IF(BCA!$I$8=5,VMT.VHT.ADT.Trip.Tables!#REF!)))))</f>
        <v>5465931.1297130464</v>
      </c>
      <c r="R46" s="420">
        <f>IF(BCA!$I$8=1,VMT.VHT.ADT.Trip.Tables!O33,IF(BCA!$I$8=2,VMT.VHT.ADT.Trip.Tables!O41,IF(BCA!$I$8=3,VMT.VHT.ADT.Trip.Tables!O49,IF(BCA!$I$8=4,VMT.VHT.ADT.Trip.Tables!#REF!,IF(BCA!$I$8=5,VMT.VHT.ADT.Trip.Tables!#REF!)))))</f>
        <v>5553040.6689791987</v>
      </c>
      <c r="S46" s="420">
        <f>IF(BCA!$I$8=1,VMT.VHT.ADT.Trip.Tables!P33,IF(BCA!$I$8=2,VMT.VHT.ADT.Trip.Tables!P41,IF(BCA!$I$8=3,VMT.VHT.ADT.Trip.Tables!P49,IF(BCA!$I$8=4,VMT.VHT.ADT.Trip.Tables!#REF!,IF(BCA!$I$8=5,VMT.VHT.ADT.Trip.Tables!#REF!)))))</f>
        <v>5641538.456953777</v>
      </c>
      <c r="T46" s="420">
        <f>IF(BCA!$I$8=1,VMT.VHT.ADT.Trip.Tables!Q33,IF(BCA!$I$8=2,VMT.VHT.ADT.Trip.Tables!Q41,IF(BCA!$I$8=3,VMT.VHT.ADT.Trip.Tables!Q49,IF(BCA!$I$8=4,VMT.VHT.ADT.Trip.Tables!#REF!,IF(BCA!$I$8=5,VMT.VHT.ADT.Trip.Tables!#REF!)))))</f>
        <v>5731446.6179011539</v>
      </c>
      <c r="U46" s="420">
        <f>IF(BCA!$I$8=1,VMT.VHT.ADT.Trip.Tables!R33,IF(BCA!$I$8=2,VMT.VHT.ADT.Trip.Tables!R41,IF(BCA!$I$8=3,VMT.VHT.ADT.Trip.Tables!R49,IF(BCA!$I$8=4,VMT.VHT.ADT.Trip.Tables!#REF!,IF(BCA!$I$8=5,VMT.VHT.ADT.Trip.Tables!#REF!)))))</f>
        <v>5822787.628676042</v>
      </c>
      <c r="V46" s="420">
        <f>IF(BCA!$I$8=1,VMT.VHT.ADT.Trip.Tables!S33,IF(BCA!$I$8=2,VMT.VHT.ADT.Trip.Tables!S41,IF(BCA!$I$8=3,VMT.VHT.ADT.Trip.Tables!S49,IF(BCA!$I$8=4,VMT.VHT.ADT.Trip.Tables!#REF!,IF(BCA!$I$8=5,VMT.VHT.ADT.Trip.Tables!#REF!)))))</f>
        <v>5915584.3243426504</v>
      </c>
      <c r="W46" s="420">
        <f>IF(BCA!$I$8=1,VMT.VHT.ADT.Trip.Tables!T33,IF(BCA!$I$8=2,VMT.VHT.ADT.Trip.Tables!T41,IF(BCA!$I$8=3,VMT.VHT.ADT.Trip.Tables!T49,IF(BCA!$I$8=4,VMT.VHT.ADT.Trip.Tables!#REF!,IF(BCA!$I$8=5,VMT.VHT.ADT.Trip.Tables!#REF!)))))</f>
        <v>6009859.903883406</v>
      </c>
      <c r="X46" s="420">
        <f>IF(BCA!$I$8=1,VMT.VHT.ADT.Trip.Tables!U33,IF(BCA!$I$8=2,VMT.VHT.ADT.Trip.Tables!U41,IF(BCA!$I$8=3,VMT.VHT.ADT.Trip.Tables!U49,IF(BCA!$I$8=4,VMT.VHT.ADT.Trip.Tables!#REF!,IF(BCA!$I$8=5,VMT.VHT.ADT.Trip.Tables!#REF!)))))</f>
        <v>6105637.9359986577</v>
      </c>
      <c r="Y46" s="420">
        <f>IF(BCA!$I$8=1,VMT.VHT.ADT.Trip.Tables!V33,IF(BCA!$I$8=2,VMT.VHT.ADT.Trip.Tables!V41,IF(BCA!$I$8=3,VMT.VHT.ADT.Trip.Tables!V49,IF(BCA!$I$8=4,VMT.VHT.ADT.Trip.Tables!#REF!,IF(BCA!$I$8=5,VMT.VHT.ADT.Trip.Tables!#REF!)))))</f>
        <v>6202942.3649987932</v>
      </c>
      <c r="Z46" s="420">
        <f>IF(BCA!$I$8=1,VMT.VHT.ADT.Trip.Tables!W33,IF(BCA!$I$8=2,VMT.VHT.ADT.Trip.Tables!W41,IF(BCA!$I$8=3,VMT.VHT.ADT.Trip.Tables!W49,IF(BCA!$I$8=4,VMT.VHT.ADT.Trip.Tables!#REF!,IF(BCA!$I$8=5,VMT.VHT.ADT.Trip.Tables!#REF!)))))</f>
        <v>6301797.5167902689</v>
      </c>
      <c r="AA46" s="282">
        <v>5625134.4926230749</v>
      </c>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row>
    <row r="47" spans="1:49" s="282" customFormat="1" ht="15" x14ac:dyDescent="0.25">
      <c r="A47" s="414"/>
      <c r="B47" s="282" t="s">
        <v>567</v>
      </c>
      <c r="C47" s="421"/>
      <c r="D47" s="420"/>
      <c r="E47" s="420"/>
      <c r="F47" s="420">
        <f>IF(BCA!$I$8=1,VMT.VHT.ADT.Trip.Tables!C34,IF(BCA!$I$8=2,VMT.VHT.ADT.Trip.Tables!C42,IF(BCA!$I$8=3,VMT.VHT.ADT.Trip.Tables!C50,IF(BCA!$I$8=4,VMT.VHT.ADT.Trip.Tables!#REF!,IF(BCA!$I$8=5,VMT.VHT.ADT.Trip.Tables!#REF!)))))</f>
        <v>2787464.9820931358</v>
      </c>
      <c r="G47" s="420">
        <f>IF(BCA!$I$8=1,VMT.VHT.ADT.Trip.Tables!D34,IF(BCA!$I$8=2,VMT.VHT.ADT.Trip.Tables!D42,IF(BCA!$I$8=3,VMT.VHT.ADT.Trip.Tables!D50,IF(BCA!$I$8=4,VMT.VHT.ADT.Trip.Tables!#REF!,IF(BCA!$I$8=5,VMT.VHT.ADT.Trip.Tables!#REF!)))))</f>
        <v>2853311.3283654531</v>
      </c>
      <c r="H47" s="420">
        <f>IF(BCA!$I$8=1,VMT.VHT.ADT.Trip.Tables!E34,IF(BCA!$I$8=2,VMT.VHT.ADT.Trip.Tables!E42,IF(BCA!$I$8=3,VMT.VHT.ADT.Trip.Tables!E50,IF(BCA!$I$8=4,VMT.VHT.ADT.Trip.Tables!#REF!,IF(BCA!$I$8=5,VMT.VHT.ADT.Trip.Tables!#REF!)))))</f>
        <v>2920713.1170721208</v>
      </c>
      <c r="I47" s="420">
        <f>IF(BCA!$I$8=1,VMT.VHT.ADT.Trip.Tables!F34,IF(BCA!$I$8=2,VMT.VHT.ADT.Trip.Tables!F42,IF(BCA!$I$8=3,VMT.VHT.ADT.Trip.Tables!F50,IF(BCA!$I$8=4,VMT.VHT.ADT.Trip.Tables!#REF!,IF(BCA!$I$8=5,VMT.VHT.ADT.Trip.Tables!#REF!)))))</f>
        <v>2989707.0913477782</v>
      </c>
      <c r="J47" s="420">
        <f>IF(BCA!$I$8=1,VMT.VHT.ADT.Trip.Tables!G34,IF(BCA!$I$8=2,VMT.VHT.ADT.Trip.Tables!G42,IF(BCA!$I$8=3,VMT.VHT.ADT.Trip.Tables!G50,IF(BCA!$I$8=4,VMT.VHT.ADT.Trip.Tables!#REF!,IF(BCA!$I$8=5,VMT.VHT.ADT.Trip.Tables!#REF!)))))</f>
        <v>3060330.8622845751</v>
      </c>
      <c r="K47" s="420">
        <f>IF(BCA!$I$8=1,VMT.VHT.ADT.Trip.Tables!H34,IF(BCA!$I$8=2,VMT.VHT.ADT.Trip.Tables!H42,IF(BCA!$I$8=3,VMT.VHT.ADT.Trip.Tables!H50,IF(BCA!$I$8=4,VMT.VHT.ADT.Trip.Tables!#REF!,IF(BCA!$I$8=5,VMT.VHT.ADT.Trip.Tables!#REF!)))))</f>
        <v>3132622.9294353276</v>
      </c>
      <c r="L47" s="420">
        <f>IF(BCA!$I$8=1,VMT.VHT.ADT.Trip.Tables!I34,IF(BCA!$I$8=2,VMT.VHT.ADT.Trip.Tables!I42,IF(BCA!$I$8=3,VMT.VHT.ADT.Trip.Tables!I50,IF(BCA!$I$8=4,VMT.VHT.ADT.Trip.Tables!#REF!,IF(BCA!$I$8=5,VMT.VHT.ADT.Trip.Tables!#REF!)))))</f>
        <v>3206622.701801009</v>
      </c>
      <c r="M47" s="420">
        <f>IF(BCA!$I$8=1,VMT.VHT.ADT.Trip.Tables!J34,IF(BCA!$I$8=2,VMT.VHT.ADT.Trip.Tables!J42,IF(BCA!$I$8=3,VMT.VHT.ADT.Trip.Tables!J50,IF(BCA!$I$8=4,VMT.VHT.ADT.Trip.Tables!#REF!,IF(BCA!$I$8=5,VMT.VHT.ADT.Trip.Tables!#REF!)))))</f>
        <v>3282370.5193140064</v>
      </c>
      <c r="N47" s="420">
        <f>IF(BCA!$I$8=1,VMT.VHT.ADT.Trip.Tables!K34,IF(BCA!$I$8=2,VMT.VHT.ADT.Trip.Tables!K42,IF(BCA!$I$8=3,VMT.VHT.ADT.Trip.Tables!K50,IF(BCA!$I$8=4,VMT.VHT.ADT.Trip.Tables!#REF!,IF(BCA!$I$8=5,VMT.VHT.ADT.Trip.Tables!#REF!)))))</f>
        <v>3359907.6748288716</v>
      </c>
      <c r="O47" s="420">
        <f>IF(BCA!$I$8=1,VMT.VHT.ADT.Trip.Tables!L34,IF(BCA!$I$8=2,VMT.VHT.ADT.Trip.Tables!L42,IF(BCA!$I$8=3,VMT.VHT.ADT.Trip.Tables!L50,IF(BCA!$I$8=4,VMT.VHT.ADT.Trip.Tables!#REF!,IF(BCA!$I$8=5,VMT.VHT.ADT.Trip.Tables!#REF!)))))</f>
        <v>3439276.4366325326</v>
      </c>
      <c r="P47" s="420">
        <f>IF(BCA!$I$8=1,VMT.VHT.ADT.Trip.Tables!M34,IF(BCA!$I$8=2,VMT.VHT.ADT.Trip.Tables!M42,IF(BCA!$I$8=3,VMT.VHT.ADT.Trip.Tables!M50,IF(BCA!$I$8=4,VMT.VHT.ADT.Trip.Tables!#REF!,IF(BCA!$I$8=5,VMT.VHT.ADT.Trip.Tables!#REF!)))))</f>
        <v>3520520.0714862607</v>
      </c>
      <c r="Q47" s="420">
        <f>IF(BCA!$I$8=1,VMT.VHT.ADT.Trip.Tables!N34,IF(BCA!$I$8=2,VMT.VHT.ADT.Trip.Tables!N42,IF(BCA!$I$8=3,VMT.VHT.ADT.Trip.Tables!N50,IF(BCA!$I$8=4,VMT.VHT.ADT.Trip.Tables!#REF!,IF(BCA!$I$8=5,VMT.VHT.ADT.Trip.Tables!#REF!)))))</f>
        <v>3603682.8682119274</v>
      </c>
      <c r="R47" s="420">
        <f>IF(BCA!$I$8=1,VMT.VHT.ADT.Trip.Tables!O34,IF(BCA!$I$8=2,VMT.VHT.ADT.Trip.Tables!O42,IF(BCA!$I$8=3,VMT.VHT.ADT.Trip.Tables!O50,IF(BCA!$I$8=4,VMT.VHT.ADT.Trip.Tables!#REF!,IF(BCA!$I$8=5,VMT.VHT.ADT.Trip.Tables!#REF!)))))</f>
        <v>3688810.1618354395</v>
      </c>
      <c r="S47" s="420">
        <f>IF(BCA!$I$8=1,VMT.VHT.ADT.Trip.Tables!P34,IF(BCA!$I$8=2,VMT.VHT.ADT.Trip.Tables!P42,IF(BCA!$I$8=3,VMT.VHT.ADT.Trip.Tables!P50,IF(BCA!$I$8=4,VMT.VHT.ADT.Trip.Tables!#REF!,IF(BCA!$I$8=5,VMT.VHT.ADT.Trip.Tables!#REF!)))))</f>
        <v>3775948.3583004824</v>
      </c>
      <c r="T47" s="420">
        <f>IF(BCA!$I$8=1,VMT.VHT.ADT.Trip.Tables!Q34,IF(BCA!$I$8=2,VMT.VHT.ADT.Trip.Tables!Q42,IF(BCA!$I$8=3,VMT.VHT.ADT.Trip.Tables!Q50,IF(BCA!$I$8=4,VMT.VHT.ADT.Trip.Tables!#REF!,IF(BCA!$I$8=5,VMT.VHT.ADT.Trip.Tables!#REF!)))))</f>
        <v>3865144.959766069</v>
      </c>
      <c r="U47" s="420">
        <f>IF(BCA!$I$8=1,VMT.VHT.ADT.Trip.Tables!R34,IF(BCA!$I$8=2,VMT.VHT.ADT.Trip.Tables!R42,IF(BCA!$I$8=3,VMT.VHT.ADT.Trip.Tables!R50,IF(BCA!$I$8=4,VMT.VHT.ADT.Trip.Tables!#REF!,IF(BCA!$I$8=5,VMT.VHT.ADT.Trip.Tables!#REF!)))))</f>
        <v>3956448.5905016731</v>
      </c>
      <c r="V47" s="420">
        <f>IF(BCA!$I$8=1,VMT.VHT.ADT.Trip.Tables!S34,IF(BCA!$I$8=2,VMT.VHT.ADT.Trip.Tables!S42,IF(BCA!$I$8=3,VMT.VHT.ADT.Trip.Tables!S50,IF(BCA!$I$8=4,VMT.VHT.ADT.Trip.Tables!#REF!,IF(BCA!$I$8=5,VMT.VHT.ADT.Trip.Tables!#REF!)))))</f>
        <v>4049909.0233940608</v>
      </c>
      <c r="W47" s="420">
        <f>IF(BCA!$I$8=1,VMT.VHT.ADT.Trip.Tables!T34,IF(BCA!$I$8=2,VMT.VHT.ADT.Trip.Tables!T42,IF(BCA!$I$8=3,VMT.VHT.ADT.Trip.Tables!T50,IF(BCA!$I$8=4,VMT.VHT.ADT.Trip.Tables!#REF!,IF(BCA!$I$8=5,VMT.VHT.ADT.Trip.Tables!#REF!)))))</f>
        <v>4145577.2070802781</v>
      </c>
      <c r="X47" s="420">
        <f>IF(BCA!$I$8=1,VMT.VHT.ADT.Trip.Tables!U34,IF(BCA!$I$8=2,VMT.VHT.ADT.Trip.Tables!U42,IF(BCA!$I$8=3,VMT.VHT.ADT.Trip.Tables!U50,IF(BCA!$I$8=4,VMT.VHT.ADT.Trip.Tables!#REF!,IF(BCA!$I$8=5,VMT.VHT.ADT.Trip.Tables!#REF!)))))</f>
        <v>4243505.2937215883</v>
      </c>
      <c r="Y47" s="420">
        <f>IF(BCA!$I$8=1,VMT.VHT.ADT.Trip.Tables!V34,IF(BCA!$I$8=2,VMT.VHT.ADT.Trip.Tables!V42,IF(BCA!$I$8=3,VMT.VHT.ADT.Trip.Tables!V50,IF(BCA!$I$8=4,VMT.VHT.ADT.Trip.Tables!#REF!,IF(BCA!$I$8=5,VMT.VHT.ADT.Trip.Tables!#REF!)))))</f>
        <v>4343746.6674334779</v>
      </c>
      <c r="Z47" s="420">
        <f>IF(BCA!$I$8=1,VMT.VHT.ADT.Trip.Tables!W34,IF(BCA!$I$8=2,VMT.VHT.ADT.Trip.Tables!W42,IF(BCA!$I$8=3,VMT.VHT.ADT.Trip.Tables!W50,IF(BCA!$I$8=4,VMT.VHT.ADT.Trip.Tables!#REF!,IF(BCA!$I$8=5,VMT.VHT.ADT.Trip.Tables!#REF!)))))</f>
        <v>4446355.97338726</v>
      </c>
      <c r="AA47" s="282">
        <v>3940858.631285782</v>
      </c>
      <c r="AB47" s="415"/>
      <c r="AC47" s="415"/>
      <c r="AD47" s="415"/>
      <c r="AE47" s="415"/>
      <c r="AF47" s="415"/>
      <c r="AG47" s="415"/>
      <c r="AH47" s="415"/>
      <c r="AI47" s="415"/>
      <c r="AJ47" s="415"/>
      <c r="AK47" s="415"/>
      <c r="AL47" s="415"/>
      <c r="AM47" s="415"/>
      <c r="AN47" s="415"/>
      <c r="AO47" s="415"/>
      <c r="AP47" s="415"/>
      <c r="AQ47" s="415"/>
      <c r="AR47" s="415"/>
      <c r="AS47" s="415"/>
      <c r="AT47" s="415"/>
      <c r="AU47" s="415"/>
      <c r="AV47" s="415"/>
      <c r="AW47" s="415"/>
    </row>
    <row r="48" spans="1:49" s="282" customFormat="1" ht="15" x14ac:dyDescent="0.25">
      <c r="A48" s="414"/>
      <c r="B48" s="282" t="s">
        <v>568</v>
      </c>
      <c r="C48" s="421"/>
      <c r="D48" s="420"/>
      <c r="E48" s="420"/>
      <c r="F48" s="420">
        <f>IF(BCA!$I$8=1,VMT.VHT.ADT.Trip.Tables!C35,IF(BCA!$I$8=2,VMT.VHT.ADT.Trip.Tables!C43,IF(BCA!$I$8=3,VMT.VHT.ADT.Trip.Tables!C51,IF(BCA!$I$8=4,VMT.VHT.ADT.Trip.Tables!#REF!,IF(BCA!$I$8=5,VMT.VHT.ADT.Trip.Tables!#REF!)))))</f>
        <v>963393.61397058831</v>
      </c>
      <c r="G48" s="420">
        <f>IF(BCA!$I$8=1,VMT.VHT.ADT.Trip.Tables!D35,IF(BCA!$I$8=2,VMT.VHT.ADT.Trip.Tables!D43,IF(BCA!$I$8=3,VMT.VHT.ADT.Trip.Tables!D51,IF(BCA!$I$8=4,VMT.VHT.ADT.Trip.Tables!#REF!,IF(BCA!$I$8=5,VMT.VHT.ADT.Trip.Tables!#REF!)))))</f>
        <v>995321.63278624869</v>
      </c>
      <c r="H48" s="420">
        <f>IF(BCA!$I$8=1,VMT.VHT.ADT.Trip.Tables!E35,IF(BCA!$I$8=2,VMT.VHT.ADT.Trip.Tables!E43,IF(BCA!$I$8=3,VMT.VHT.ADT.Trip.Tables!E51,IF(BCA!$I$8=4,VMT.VHT.ADT.Trip.Tables!#REF!,IF(BCA!$I$8=5,VMT.VHT.ADT.Trip.Tables!#REF!)))))</f>
        <v>1028307.7844052723</v>
      </c>
      <c r="I48" s="420">
        <f>IF(BCA!$I$8=1,VMT.VHT.ADT.Trip.Tables!F35,IF(BCA!$I$8=2,VMT.VHT.ADT.Trip.Tables!F43,IF(BCA!$I$8=3,VMT.VHT.ADT.Trip.Tables!F51,IF(BCA!$I$8=4,VMT.VHT.ADT.Trip.Tables!#REF!,IF(BCA!$I$8=5,VMT.VHT.ADT.Trip.Tables!#REF!)))))</f>
        <v>1062387.136616739</v>
      </c>
      <c r="J48" s="420">
        <f>IF(BCA!$I$8=1,VMT.VHT.ADT.Trip.Tables!G35,IF(BCA!$I$8=2,VMT.VHT.ADT.Trip.Tables!G43,IF(BCA!$I$8=3,VMT.VHT.ADT.Trip.Tables!G51,IF(BCA!$I$8=4,VMT.VHT.ADT.Trip.Tables!#REF!,IF(BCA!$I$8=5,VMT.VHT.ADT.Trip.Tables!#REF!)))))</f>
        <v>1097595.9193982806</v>
      </c>
      <c r="K48" s="420">
        <f>IF(BCA!$I$8=1,VMT.VHT.ADT.Trip.Tables!H35,IF(BCA!$I$8=2,VMT.VHT.ADT.Trip.Tables!H43,IF(BCA!$I$8=3,VMT.VHT.ADT.Trip.Tables!H51,IF(BCA!$I$8=4,VMT.VHT.ADT.Trip.Tables!#REF!,IF(BCA!$I$8=5,VMT.VHT.ADT.Trip.Tables!#REF!)))))</f>
        <v>1133971.5634324024</v>
      </c>
      <c r="L48" s="420">
        <f>IF(BCA!$I$8=1,VMT.VHT.ADT.Trip.Tables!I35,IF(BCA!$I$8=2,VMT.VHT.ADT.Trip.Tables!I43,IF(BCA!$I$8=3,VMT.VHT.ADT.Trip.Tables!I51,IF(BCA!$I$8=4,VMT.VHT.ADT.Trip.Tables!#REF!,IF(BCA!$I$8=5,VMT.VHT.ADT.Trip.Tables!#REF!)))))</f>
        <v>1171552.7398992819</v>
      </c>
      <c r="M48" s="420">
        <f>IF(BCA!$I$8=1,VMT.VHT.ADT.Trip.Tables!J35,IF(BCA!$I$8=2,VMT.VHT.ADT.Trip.Tables!J43,IF(BCA!$I$8=3,VMT.VHT.ADT.Trip.Tables!J51,IF(BCA!$I$8=4,VMT.VHT.ADT.Trip.Tables!#REF!,IF(BCA!$I$8=5,VMT.VHT.ADT.Trip.Tables!#REF!)))))</f>
        <v>1210379.401588348</v>
      </c>
      <c r="N48" s="420">
        <f>IF(BCA!$I$8=1,VMT.VHT.ADT.Trip.Tables!K35,IF(BCA!$I$8=2,VMT.VHT.ADT.Trip.Tables!K43,IF(BCA!$I$8=3,VMT.VHT.ADT.Trip.Tables!K51,IF(BCA!$I$8=4,VMT.VHT.ADT.Trip.Tables!#REF!,IF(BCA!$I$8=5,VMT.VHT.ADT.Trip.Tables!#REF!)))))</f>
        <v>1250492.8253723467</v>
      </c>
      <c r="O48" s="420">
        <f>IF(BCA!$I$8=1,VMT.VHT.ADT.Trip.Tables!L35,IF(BCA!$I$8=2,VMT.VHT.ADT.Trip.Tables!L43,IF(BCA!$I$8=3,VMT.VHT.ADT.Trip.Tables!L51,IF(BCA!$I$8=4,VMT.VHT.ADT.Trip.Tables!#REF!,IF(BCA!$I$8=5,VMT.VHT.ADT.Trip.Tables!#REF!)))))</f>
        <v>1291935.6560890505</v>
      </c>
      <c r="P48" s="420">
        <f>IF(BCA!$I$8=1,VMT.VHT.ADT.Trip.Tables!M35,IF(BCA!$I$8=2,VMT.VHT.ADT.Trip.Tables!M43,IF(BCA!$I$8=3,VMT.VHT.ADT.Trip.Tables!M51,IF(BCA!$I$8=4,VMT.VHT.ADT.Trip.Tables!#REF!,IF(BCA!$I$8=5,VMT.VHT.ADT.Trip.Tables!#REF!)))))</f>
        <v>1334751.9518772564</v>
      </c>
      <c r="Q48" s="420">
        <f>IF(BCA!$I$8=1,VMT.VHT.ADT.Trip.Tables!N35,IF(BCA!$I$8=2,VMT.VHT.ADT.Trip.Tables!N43,IF(BCA!$I$8=3,VMT.VHT.ADT.Trip.Tables!N51,IF(BCA!$I$8=4,VMT.VHT.ADT.Trip.Tables!#REF!,IF(BCA!$I$8=5,VMT.VHT.ADT.Trip.Tables!#REF!)))))</f>
        <v>1378987.231015278</v>
      </c>
      <c r="R48" s="420">
        <f>IF(BCA!$I$8=1,VMT.VHT.ADT.Trip.Tables!O35,IF(BCA!$I$8=2,VMT.VHT.ADT.Trip.Tables!O43,IF(BCA!$I$8=3,VMT.VHT.ADT.Trip.Tables!O51,IF(BCA!$I$8=4,VMT.VHT.ADT.Trip.Tables!#REF!,IF(BCA!$I$8=5,VMT.VHT.ADT.Trip.Tables!#REF!)))))</f>
        <v>1424688.5203117165</v>
      </c>
      <c r="S48" s="420">
        <f>IF(BCA!$I$8=1,VMT.VHT.ADT.Trip.Tables!P35,IF(BCA!$I$8=2,VMT.VHT.ADT.Trip.Tables!P43,IF(BCA!$I$8=3,VMT.VHT.ADT.Trip.Tables!P51,IF(BCA!$I$8=4,VMT.VHT.ADT.Trip.Tables!#REF!,IF(BCA!$I$8=5,VMT.VHT.ADT.Trip.Tables!#REF!)))))</f>
        <v>1471904.4050999628</v>
      </c>
      <c r="T48" s="420">
        <f>IF(BCA!$I$8=1,VMT.VHT.ADT.Trip.Tables!Q35,IF(BCA!$I$8=2,VMT.VHT.ADT.Trip.Tables!Q43,IF(BCA!$I$8=3,VMT.VHT.ADT.Trip.Tables!Q51,IF(BCA!$I$8=4,VMT.VHT.ADT.Trip.Tables!#REF!,IF(BCA!$I$8=5,VMT.VHT.ADT.Trip.Tables!#REF!)))))</f>
        <v>1520685.080889578</v>
      </c>
      <c r="U48" s="420">
        <f>IF(BCA!$I$8=1,VMT.VHT.ADT.Trip.Tables!R35,IF(BCA!$I$8=2,VMT.VHT.ADT.Trip.Tables!R43,IF(BCA!$I$8=3,VMT.VHT.ADT.Trip.Tables!R51,IF(BCA!$I$8=4,VMT.VHT.ADT.Trip.Tables!#REF!,IF(BCA!$I$8=5,VMT.VHT.ADT.Trip.Tables!#REF!)))))</f>
        <v>1571082.4067294588</v>
      </c>
      <c r="V48" s="420">
        <f>IF(BCA!$I$8=1,VMT.VHT.ADT.Trip.Tables!S35,IF(BCA!$I$8=2,VMT.VHT.ADT.Trip.Tables!S43,IF(BCA!$I$8=3,VMT.VHT.ADT.Trip.Tables!S51,IF(BCA!$I$8=4,VMT.VHT.ADT.Trip.Tables!#REF!,IF(BCA!$I$8=5,VMT.VHT.ADT.Trip.Tables!#REF!)))))</f>
        <v>1623149.9603395271</v>
      </c>
      <c r="W48" s="420">
        <f>IF(BCA!$I$8=1,VMT.VHT.ADT.Trip.Tables!T35,IF(BCA!$I$8=2,VMT.VHT.ADT.Trip.Tables!T43,IF(BCA!$I$8=3,VMT.VHT.ADT.Trip.Tables!T51,IF(BCA!$I$8=4,VMT.VHT.ADT.Trip.Tables!#REF!,IF(BCA!$I$8=5,VMT.VHT.ADT.Trip.Tables!#REF!)))))</f>
        <v>1676943.0950695453</v>
      </c>
      <c r="X48" s="420">
        <f>IF(BCA!$I$8=1,VMT.VHT.ADT.Trip.Tables!U35,IF(BCA!$I$8=2,VMT.VHT.ADT.Trip.Tables!U43,IF(BCA!$I$8=3,VMT.VHT.ADT.Trip.Tables!U51,IF(BCA!$I$8=4,VMT.VHT.ADT.Trip.Tables!#REF!,IF(BCA!$I$8=5,VMT.VHT.ADT.Trip.Tables!#REF!)))))</f>
        <v>1732518.998745617</v>
      </c>
      <c r="Y48" s="420">
        <f>IF(BCA!$I$8=1,VMT.VHT.ADT.Trip.Tables!V35,IF(BCA!$I$8=2,VMT.VHT.ADT.Trip.Tables!V43,IF(BCA!$I$8=3,VMT.VHT.ADT.Trip.Tables!V51,IF(BCA!$I$8=4,VMT.VHT.ADT.Trip.Tables!#REF!,IF(BCA!$I$8=5,VMT.VHT.ADT.Trip.Tables!#REF!)))))</f>
        <v>1789936.7544669327</v>
      </c>
      <c r="Z48" s="420">
        <f>IF(BCA!$I$8=1,VMT.VHT.ADT.Trip.Tables!W35,IF(BCA!$I$8=2,VMT.VHT.ADT.Trip.Tables!W43,IF(BCA!$I$8=3,VMT.VHT.ADT.Trip.Tables!W51,IF(BCA!$I$8=4,VMT.VHT.ADT.Trip.Tables!#REF!,IF(BCA!$I$8=5,VMT.VHT.ADT.Trip.Tables!#REF!)))))</f>
        <v>1849257.4034173908</v>
      </c>
      <c r="AA48" s="282">
        <v>1490772.6730141465</v>
      </c>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row>
    <row r="49" spans="1:49" s="282" customFormat="1" ht="15" x14ac:dyDescent="0.25">
      <c r="A49" s="414"/>
      <c r="B49" s="282" t="s">
        <v>465</v>
      </c>
      <c r="C49" s="419"/>
      <c r="D49" s="420"/>
      <c r="E49" s="420"/>
      <c r="F49" s="420">
        <f t="shared" ref="F49:W49" si="26">SUM(F45:F48)</f>
        <v>16813263.634455238</v>
      </c>
      <c r="G49" s="420">
        <f t="shared" si="26"/>
        <v>17185149.902695537</v>
      </c>
      <c r="H49" s="420">
        <f t="shared" si="26"/>
        <v>17565582.460577752</v>
      </c>
      <c r="I49" s="420">
        <f t="shared" si="26"/>
        <v>17954764.775635712</v>
      </c>
      <c r="J49" s="420">
        <f t="shared" si="26"/>
        <v>18352905.324038103</v>
      </c>
      <c r="K49" s="420">
        <f t="shared" si="26"/>
        <v>18760217.717958704</v>
      </c>
      <c r="L49" s="420">
        <f t="shared" si="26"/>
        <v>19176920.836292092</v>
      </c>
      <c r="M49" s="420">
        <f t="shared" si="26"/>
        <v>19603238.958805606</v>
      </c>
      <c r="N49" s="420">
        <f t="shared" si="26"/>
        <v>20039401.903820895</v>
      </c>
      <c r="O49" s="420">
        <f t="shared" si="26"/>
        <v>20485645.169520877</v>
      </c>
      <c r="P49" s="420">
        <f t="shared" si="26"/>
        <v>20942210.078980792</v>
      </c>
      <c r="Q49" s="420">
        <f t="shared" si="26"/>
        <v>21409343.929024644</v>
      </c>
      <c r="R49" s="420">
        <f t="shared" si="26"/>
        <v>21887300.143011298</v>
      </c>
      <c r="S49" s="420">
        <f t="shared" si="26"/>
        <v>22376338.427657336</v>
      </c>
      <c r="T49" s="420">
        <f t="shared" si="26"/>
        <v>22876724.934006844</v>
      </c>
      <c r="U49" s="420">
        <f t="shared" si="26"/>
        <v>23388732.422661379</v>
      </c>
      <c r="V49" s="420">
        <f t="shared" si="26"/>
        <v>23912640.433386575</v>
      </c>
      <c r="W49" s="420">
        <f t="shared" si="26"/>
        <v>24448735.459215138</v>
      </c>
      <c r="X49" s="420">
        <f t="shared" ref="X49:Z49" si="27">SUM(X45:X48)</f>
        <v>24997311.125169296</v>
      </c>
      <c r="Y49" s="420">
        <f t="shared" si="27"/>
        <v>25558668.371729344</v>
      </c>
      <c r="Z49" s="420">
        <f t="shared" si="27"/>
        <v>26133115.643178429</v>
      </c>
      <c r="AB49" s="415"/>
      <c r="AC49" s="415"/>
      <c r="AD49" s="415"/>
      <c r="AE49" s="415"/>
      <c r="AF49" s="415"/>
      <c r="AG49" s="415"/>
      <c r="AH49" s="415"/>
      <c r="AI49" s="415"/>
      <c r="AJ49" s="415"/>
      <c r="AK49" s="415"/>
      <c r="AL49" s="415"/>
      <c r="AM49" s="415"/>
      <c r="AN49" s="415"/>
      <c r="AO49" s="415"/>
      <c r="AP49" s="415"/>
      <c r="AQ49" s="415"/>
      <c r="AR49" s="415"/>
      <c r="AS49" s="415"/>
      <c r="AT49" s="415"/>
      <c r="AU49" s="415"/>
      <c r="AV49" s="415"/>
      <c r="AW49" s="415"/>
    </row>
    <row r="50" spans="1:49" s="282" customFormat="1" ht="15" x14ac:dyDescent="0.25">
      <c r="A50" s="414"/>
      <c r="C50" s="729"/>
      <c r="D50" s="729"/>
      <c r="E50" s="729"/>
      <c r="F50" s="729"/>
      <c r="G50" s="729"/>
      <c r="H50" s="729"/>
      <c r="I50" s="729"/>
      <c r="J50" s="729"/>
      <c r="K50" s="729"/>
      <c r="L50" s="729"/>
      <c r="M50" s="729"/>
      <c r="N50" s="729"/>
      <c r="O50" s="729"/>
      <c r="P50" s="729"/>
      <c r="Q50" s="729"/>
      <c r="R50" s="729"/>
      <c r="S50" s="729"/>
      <c r="T50" s="729"/>
      <c r="U50" s="729"/>
      <c r="V50" s="729"/>
      <c r="W50" s="729"/>
      <c r="X50" s="729"/>
      <c r="Y50" s="729"/>
      <c r="Z50" s="729"/>
      <c r="AB50" s="415"/>
      <c r="AC50" s="415"/>
      <c r="AD50" s="415"/>
      <c r="AE50" s="415"/>
      <c r="AF50" s="415"/>
      <c r="AG50" s="415"/>
      <c r="AH50" s="415"/>
      <c r="AI50" s="415"/>
      <c r="AJ50" s="415"/>
      <c r="AK50" s="415"/>
      <c r="AL50" s="415"/>
      <c r="AM50" s="415"/>
      <c r="AN50" s="415"/>
      <c r="AO50" s="415"/>
      <c r="AP50" s="415"/>
      <c r="AQ50" s="415"/>
      <c r="AR50" s="415"/>
      <c r="AS50" s="415"/>
      <c r="AT50" s="415"/>
      <c r="AU50" s="415"/>
      <c r="AV50" s="415"/>
      <c r="AW50" s="415"/>
    </row>
    <row r="51" spans="1:49" s="282" customFormat="1" ht="21.75" thickBot="1" x14ac:dyDescent="0.3">
      <c r="A51" s="414"/>
      <c r="B51" s="1011" t="str">
        <f>IF(BCA!I8=1,BCA!H5,IF(BCA!I8=2,BCA!H6,IF(BCA!I8=3,BCA!H7,IF(BCA!I8=4,BCA!#REF!,IF(BCA!I8=5,"error")))))</f>
        <v>6-Lane CD SDI</v>
      </c>
      <c r="C51" s="1919" t="s">
        <v>901</v>
      </c>
      <c r="D51" s="1919"/>
      <c r="E51" s="1919"/>
      <c r="F51" s="1919"/>
      <c r="G51" s="1919"/>
      <c r="H51" s="1919"/>
      <c r="I51" s="1919"/>
      <c r="J51" s="1919"/>
      <c r="K51" s="1919"/>
      <c r="L51" s="1919"/>
      <c r="M51" s="1919"/>
      <c r="N51" s="1919"/>
      <c r="O51" s="1919"/>
      <c r="P51" s="1919"/>
      <c r="Q51" s="1919"/>
      <c r="R51" s="1919"/>
      <c r="S51" s="1919"/>
      <c r="T51" s="1919"/>
      <c r="U51" s="1919"/>
      <c r="V51" s="1919"/>
      <c r="W51" s="1919"/>
      <c r="X51" s="1427"/>
      <c r="Y51" s="1427"/>
      <c r="Z51" s="1427"/>
      <c r="AB51" s="415"/>
      <c r="AC51" s="415"/>
      <c r="AD51" s="415"/>
      <c r="AE51" s="415"/>
      <c r="AF51" s="415"/>
      <c r="AG51" s="415"/>
      <c r="AH51" s="415"/>
      <c r="AI51" s="415"/>
      <c r="AJ51" s="415"/>
      <c r="AK51" s="415"/>
      <c r="AL51" s="415"/>
      <c r="AM51" s="415"/>
      <c r="AN51" s="415"/>
      <c r="AO51" s="415"/>
      <c r="AP51" s="415"/>
      <c r="AQ51" s="415"/>
      <c r="AR51" s="415"/>
      <c r="AS51" s="415"/>
      <c r="AT51" s="415"/>
      <c r="AU51" s="415"/>
      <c r="AV51" s="415"/>
      <c r="AW51" s="415"/>
    </row>
    <row r="52" spans="1:49" s="282" customFormat="1" ht="15.75" thickBot="1" x14ac:dyDescent="0.3">
      <c r="A52" s="414"/>
      <c r="C52" s="417">
        <v>2020</v>
      </c>
      <c r="D52" s="417">
        <f>C52+1</f>
        <v>2021</v>
      </c>
      <c r="E52" s="417">
        <f t="shared" ref="E52:W52" si="28">D52+1</f>
        <v>2022</v>
      </c>
      <c r="F52" s="417">
        <f t="shared" si="28"/>
        <v>2023</v>
      </c>
      <c r="G52" s="417">
        <f t="shared" si="28"/>
        <v>2024</v>
      </c>
      <c r="H52" s="417">
        <f t="shared" si="28"/>
        <v>2025</v>
      </c>
      <c r="I52" s="417">
        <f t="shared" si="28"/>
        <v>2026</v>
      </c>
      <c r="J52" s="417">
        <f t="shared" si="28"/>
        <v>2027</v>
      </c>
      <c r="K52" s="417">
        <f t="shared" si="28"/>
        <v>2028</v>
      </c>
      <c r="L52" s="417">
        <f t="shared" si="28"/>
        <v>2029</v>
      </c>
      <c r="M52" s="417">
        <f t="shared" si="28"/>
        <v>2030</v>
      </c>
      <c r="N52" s="417">
        <f t="shared" si="28"/>
        <v>2031</v>
      </c>
      <c r="O52" s="417">
        <f t="shared" si="28"/>
        <v>2032</v>
      </c>
      <c r="P52" s="417">
        <f t="shared" si="28"/>
        <v>2033</v>
      </c>
      <c r="Q52" s="417">
        <f t="shared" si="28"/>
        <v>2034</v>
      </c>
      <c r="R52" s="417">
        <f t="shared" si="28"/>
        <v>2035</v>
      </c>
      <c r="S52" s="417">
        <f t="shared" si="28"/>
        <v>2036</v>
      </c>
      <c r="T52" s="417">
        <f t="shared" si="28"/>
        <v>2037</v>
      </c>
      <c r="U52" s="417">
        <f t="shared" si="28"/>
        <v>2038</v>
      </c>
      <c r="V52" s="417">
        <f t="shared" si="28"/>
        <v>2039</v>
      </c>
      <c r="W52" s="417">
        <f t="shared" si="28"/>
        <v>2040</v>
      </c>
      <c r="X52" s="417">
        <f t="shared" ref="X52:Z52" si="29">W52+1</f>
        <v>2041</v>
      </c>
      <c r="Y52" s="417">
        <f t="shared" si="29"/>
        <v>2042</v>
      </c>
      <c r="Z52" s="417">
        <f t="shared" si="29"/>
        <v>2043</v>
      </c>
      <c r="AB52" s="415"/>
      <c r="AC52" s="415"/>
      <c r="AD52" s="415"/>
      <c r="AE52" s="415"/>
      <c r="AF52" s="415"/>
      <c r="AG52" s="415"/>
      <c r="AH52" s="415"/>
      <c r="AI52" s="415"/>
      <c r="AJ52" s="415"/>
      <c r="AK52" s="415"/>
      <c r="AL52" s="415"/>
      <c r="AM52" s="415"/>
      <c r="AN52" s="415"/>
      <c r="AO52" s="415"/>
      <c r="AP52" s="415"/>
      <c r="AQ52" s="415"/>
      <c r="AR52" s="415"/>
      <c r="AS52" s="415"/>
      <c r="AT52" s="415"/>
      <c r="AU52" s="415"/>
      <c r="AV52" s="415"/>
      <c r="AW52" s="415"/>
    </row>
    <row r="53" spans="1:49" s="282" customFormat="1" ht="15" x14ac:dyDescent="0.25">
      <c r="A53" s="414"/>
      <c r="B53" s="282" t="s">
        <v>584</v>
      </c>
      <c r="C53" s="421"/>
      <c r="D53" s="420"/>
      <c r="E53" s="420"/>
      <c r="F53" s="792">
        <f>F37/F45</f>
        <v>44.804202212572676</v>
      </c>
      <c r="G53" s="792">
        <f t="shared" ref="G53:W53" si="30">G37/G45</f>
        <v>44.223657910498268</v>
      </c>
      <c r="H53" s="792">
        <f t="shared" si="30"/>
        <v>43.650635931554895</v>
      </c>
      <c r="I53" s="792">
        <f t="shared" si="30"/>
        <v>43.08503880627282</v>
      </c>
      <c r="J53" s="792">
        <f t="shared" si="30"/>
        <v>42.526770328129551</v>
      </c>
      <c r="K53" s="792">
        <f t="shared" si="30"/>
        <v>41.975735537185457</v>
      </c>
      <c r="L53" s="792">
        <f t="shared" si="30"/>
        <v>41.431840703931243</v>
      </c>
      <c r="M53" s="792">
        <f t="shared" si="30"/>
        <v>40.894993313344919</v>
      </c>
      <c r="N53" s="792">
        <f t="shared" si="30"/>
        <v>40.365102049155176</v>
      </c>
      <c r="O53" s="792">
        <f t="shared" si="30"/>
        <v>39.842076778308744</v>
      </c>
      <c r="P53" s="792">
        <f t="shared" si="30"/>
        <v>39.325828535639062</v>
      </c>
      <c r="Q53" s="792">
        <f t="shared" si="30"/>
        <v>38.816269508733463</v>
      </c>
      <c r="R53" s="792">
        <f t="shared" si="30"/>
        <v>38.313313022996603</v>
      </c>
      <c r="S53" s="792">
        <f t="shared" si="30"/>
        <v>37.81687352690728</v>
      </c>
      <c r="T53" s="792">
        <f t="shared" si="30"/>
        <v>37.326866577466411</v>
      </c>
      <c r="U53" s="792">
        <f t="shared" si="30"/>
        <v>36.843208825833486</v>
      </c>
      <c r="V53" s="792">
        <f t="shared" si="30"/>
        <v>36.365818003149172</v>
      </c>
      <c r="W53" s="792">
        <f t="shared" si="30"/>
        <v>35.894612906541553</v>
      </c>
      <c r="X53" s="792">
        <f t="shared" ref="X53:Z53" si="31">X37/X45</f>
        <v>35.429513385313797</v>
      </c>
      <c r="Y53" s="792">
        <f t="shared" si="31"/>
        <v>34.970440327310747</v>
      </c>
      <c r="Z53" s="792">
        <f t="shared" si="31"/>
        <v>34.517315645462126</v>
      </c>
      <c r="AB53" s="415"/>
      <c r="AC53" s="415"/>
      <c r="AD53" s="415"/>
      <c r="AE53" s="415"/>
      <c r="AF53" s="415"/>
      <c r="AG53" s="415"/>
      <c r="AH53" s="415"/>
      <c r="AI53" s="415"/>
      <c r="AJ53" s="415"/>
      <c r="AK53" s="415"/>
      <c r="AL53" s="415"/>
      <c r="AM53" s="415"/>
      <c r="AN53" s="415"/>
      <c r="AO53" s="415"/>
      <c r="AP53" s="415"/>
      <c r="AQ53" s="415"/>
      <c r="AR53" s="415"/>
      <c r="AS53" s="415"/>
      <c r="AT53" s="415"/>
      <c r="AU53" s="415"/>
      <c r="AV53" s="415"/>
      <c r="AW53" s="415"/>
    </row>
    <row r="54" spans="1:49" s="282" customFormat="1" ht="15" x14ac:dyDescent="0.25">
      <c r="A54" s="414"/>
      <c r="B54" s="282" t="s">
        <v>585</v>
      </c>
      <c r="C54" s="421"/>
      <c r="D54" s="420"/>
      <c r="E54" s="420"/>
      <c r="F54" s="792">
        <f t="shared" ref="F54:W54" si="32">F38/F46</f>
        <v>44.843292027991723</v>
      </c>
      <c r="G54" s="792">
        <f t="shared" si="32"/>
        <v>44.260450456312462</v>
      </c>
      <c r="H54" s="792">
        <f t="shared" si="32"/>
        <v>43.685184249471845</v>
      </c>
      <c r="I54" s="792">
        <f t="shared" si="32"/>
        <v>43.117394948205408</v>
      </c>
      <c r="J54" s="792">
        <f t="shared" si="32"/>
        <v>42.556985372952987</v>
      </c>
      <c r="K54" s="792">
        <f t="shared" si="32"/>
        <v>42.003859607225976</v>
      </c>
      <c r="L54" s="792">
        <f t="shared" si="32"/>
        <v>41.457922981190833</v>
      </c>
      <c r="M54" s="792">
        <f t="shared" si="32"/>
        <v>40.919082055465942</v>
      </c>
      <c r="N54" s="792">
        <f t="shared" si="32"/>
        <v>40.387244605129048</v>
      </c>
      <c r="O54" s="792">
        <f t="shared" si="32"/>
        <v>39.862319603932555</v>
      </c>
      <c r="P54" s="792">
        <f t="shared" si="32"/>
        <v>39.344217208724061</v>
      </c>
      <c r="Q54" s="792">
        <f t="shared" si="32"/>
        <v>38.83284874406921</v>
      </c>
      <c r="R54" s="792">
        <f t="shared" si="32"/>
        <v>38.328126687074651</v>
      </c>
      <c r="S54" s="792">
        <f t="shared" si="32"/>
        <v>37.829964652407959</v>
      </c>
      <c r="T54" s="792">
        <f t="shared" si="32"/>
        <v>37.338277377512611</v>
      </c>
      <c r="U54" s="792">
        <f t="shared" si="32"/>
        <v>36.852980708014726</v>
      </c>
      <c r="V54" s="792">
        <f t="shared" si="32"/>
        <v>36.373991583319842</v>
      </c>
      <c r="W54" s="792">
        <f t="shared" si="32"/>
        <v>35.901228022396694</v>
      </c>
      <c r="X54" s="792">
        <f t="shared" ref="X54:Z54" si="33">X38/X46</f>
        <v>35.434609109745786</v>
      </c>
      <c r="Y54" s="792">
        <f t="shared" si="33"/>
        <v>34.974054981550353</v>
      </c>
      <c r="Z54" s="792">
        <f t="shared" si="33"/>
        <v>34.519486812007429</v>
      </c>
      <c r="AB54" s="415"/>
      <c r="AC54" s="415"/>
      <c r="AD54" s="415"/>
      <c r="AE54" s="415"/>
      <c r="AF54" s="415"/>
      <c r="AG54" s="415"/>
      <c r="AH54" s="415"/>
      <c r="AI54" s="415"/>
      <c r="AJ54" s="415"/>
      <c r="AK54" s="415"/>
      <c r="AL54" s="415"/>
      <c r="AM54" s="415"/>
      <c r="AN54" s="415"/>
      <c r="AO54" s="415"/>
      <c r="AP54" s="415"/>
      <c r="AQ54" s="415"/>
      <c r="AR54" s="415"/>
      <c r="AS54" s="415"/>
      <c r="AT54" s="415"/>
      <c r="AU54" s="415"/>
      <c r="AV54" s="415"/>
      <c r="AW54" s="415"/>
    </row>
    <row r="55" spans="1:49" s="282" customFormat="1" ht="15" x14ac:dyDescent="0.25">
      <c r="A55" s="414"/>
      <c r="B55" s="282" t="s">
        <v>586</v>
      </c>
      <c r="C55" s="421"/>
      <c r="D55" s="420"/>
      <c r="E55" s="420"/>
      <c r="F55" s="792">
        <f t="shared" ref="F55:W55" si="34">F39/F47</f>
        <v>44.805698351918288</v>
      </c>
      <c r="G55" s="792">
        <f t="shared" si="34"/>
        <v>44.225172075987416</v>
      </c>
      <c r="H55" s="792">
        <f t="shared" si="34"/>
        <v>43.652167404884558</v>
      </c>
      <c r="I55" s="792">
        <f t="shared" si="34"/>
        <v>43.086586884727716</v>
      </c>
      <c r="J55" s="792">
        <f t="shared" si="34"/>
        <v>42.528334324298818</v>
      </c>
      <c r="K55" s="792">
        <f t="shared" si="34"/>
        <v>41.977314778684011</v>
      </c>
      <c r="L55" s="792">
        <f t="shared" si="34"/>
        <v>41.433434533125826</v>
      </c>
      <c r="M55" s="792">
        <f t="shared" si="34"/>
        <v>40.896601087084662</v>
      </c>
      <c r="N55" s="792">
        <f t="shared" si="34"/>
        <v>40.366723138506735</v>
      </c>
      <c r="O55" s="792">
        <f t="shared" si="34"/>
        <v>39.843710568295869</v>
      </c>
      <c r="P55" s="792">
        <f t="shared" si="34"/>
        <v>39.327474424986427</v>
      </c>
      <c r="Q55" s="792">
        <f t="shared" si="34"/>
        <v>38.817926909614947</v>
      </c>
      <c r="R55" s="792">
        <f t="shared" si="34"/>
        <v>38.314981360787655</v>
      </c>
      <c r="S55" s="792">
        <f t="shared" si="34"/>
        <v>37.818552239941546</v>
      </c>
      <c r="T55" s="792">
        <f t="shared" si="34"/>
        <v>37.328555116796387</v>
      </c>
      <c r="U55" s="792">
        <f t="shared" si="34"/>
        <v>36.844906654995171</v>
      </c>
      <c r="V55" s="792">
        <f t="shared" si="34"/>
        <v>36.367524597930775</v>
      </c>
      <c r="W55" s="792">
        <f t="shared" si="34"/>
        <v>35.896327754756101</v>
      </c>
      <c r="X55" s="792">
        <f t="shared" ref="X55:Z55" si="35">X39/X47</f>
        <v>35.431235986575452</v>
      </c>
      <c r="Y55" s="792">
        <f t="shared" si="35"/>
        <v>34.972170192815007</v>
      </c>
      <c r="Z55" s="792">
        <f t="shared" si="35"/>
        <v>34.519052297769711</v>
      </c>
      <c r="AB55" s="415"/>
      <c r="AC55" s="415"/>
      <c r="AD55" s="415"/>
      <c r="AE55" s="415"/>
      <c r="AF55" s="415"/>
      <c r="AG55" s="415"/>
      <c r="AH55" s="415"/>
      <c r="AI55" s="415"/>
      <c r="AJ55" s="415"/>
      <c r="AK55" s="415"/>
      <c r="AL55" s="415"/>
      <c r="AM55" s="415"/>
      <c r="AN55" s="415"/>
      <c r="AO55" s="415"/>
      <c r="AP55" s="415"/>
      <c r="AQ55" s="415"/>
      <c r="AR55" s="415"/>
      <c r="AS55" s="415"/>
      <c r="AT55" s="415"/>
      <c r="AU55" s="415"/>
      <c r="AV55" s="415"/>
      <c r="AW55" s="415"/>
    </row>
    <row r="56" spans="1:49" ht="15" x14ac:dyDescent="0.25">
      <c r="B56" s="282" t="s">
        <v>587</v>
      </c>
      <c r="C56" s="421"/>
      <c r="D56" s="420"/>
      <c r="E56" s="420"/>
      <c r="F56" s="792">
        <f t="shared" ref="F56:W56" si="36">F40/F48</f>
        <v>44.962838798751179</v>
      </c>
      <c r="G56" s="792">
        <f t="shared" si="36"/>
        <v>44.498539282954823</v>
      </c>
      <c r="H56" s="792">
        <f t="shared" si="36"/>
        <v>44.039034260703112</v>
      </c>
      <c r="I56" s="792">
        <f t="shared" si="36"/>
        <v>43.584274222643614</v>
      </c>
      <c r="J56" s="792">
        <f t="shared" si="36"/>
        <v>43.134210170672084</v>
      </c>
      <c r="K56" s="792">
        <f t="shared" si="36"/>
        <v>42.688793612653129</v>
      </c>
      <c r="L56" s="792">
        <f t="shared" si="36"/>
        <v>42.247976557195422</v>
      </c>
      <c r="M56" s="792">
        <f t="shared" si="36"/>
        <v>41.811711508480876</v>
      </c>
      <c r="N56" s="792">
        <f t="shared" si="36"/>
        <v>41.379951461147243</v>
      </c>
      <c r="O56" s="792">
        <f t="shared" si="36"/>
        <v>40.952649895223409</v>
      </c>
      <c r="P56" s="792">
        <f t="shared" si="36"/>
        <v>40.529760771117274</v>
      </c>
      <c r="Q56" s="792">
        <f t="shared" si="36"/>
        <v>40.111238524655064</v>
      </c>
      <c r="R56" s="792">
        <f t="shared" si="36"/>
        <v>39.697038062172119</v>
      </c>
      <c r="S56" s="792">
        <f t="shared" si="36"/>
        <v>39.287114755654216</v>
      </c>
      <c r="T56" s="792">
        <f t="shared" si="36"/>
        <v>38.881424437929155</v>
      </c>
      <c r="U56" s="792">
        <f t="shared" si="36"/>
        <v>38.479923397907996</v>
      </c>
      <c r="V56" s="792">
        <f t="shared" si="36"/>
        <v>38.08256837587534</v>
      </c>
      <c r="W56" s="792">
        <f t="shared" si="36"/>
        <v>37.689316558828324</v>
      </c>
      <c r="X56" s="792">
        <f t="shared" ref="X56:Z56" si="37">X40/X48</f>
        <v>37.300125575863852</v>
      </c>
      <c r="Y56" s="792">
        <f t="shared" si="37"/>
        <v>36.914953493613176</v>
      </c>
      <c r="Z56" s="792">
        <f t="shared" si="37"/>
        <v>36.533758811723899</v>
      </c>
    </row>
    <row r="57" spans="1:49" ht="15" x14ac:dyDescent="0.25">
      <c r="C57" s="419"/>
      <c r="D57" s="420"/>
      <c r="E57" s="420"/>
      <c r="F57" s="792"/>
      <c r="G57" s="792"/>
      <c r="H57" s="792"/>
      <c r="I57" s="792"/>
      <c r="J57" s="792"/>
      <c r="K57" s="792"/>
      <c r="L57" s="792"/>
      <c r="M57" s="792"/>
      <c r="N57" s="792"/>
      <c r="O57" s="792"/>
      <c r="P57" s="792"/>
      <c r="Q57" s="792"/>
      <c r="R57" s="792"/>
      <c r="S57" s="792"/>
      <c r="T57" s="792"/>
      <c r="U57" s="792"/>
      <c r="V57" s="792"/>
      <c r="W57" s="792"/>
      <c r="X57" s="792"/>
      <c r="Y57" s="792"/>
      <c r="Z57" s="792"/>
    </row>
    <row r="59" spans="1:49" ht="21.75" customHeight="1" thickBot="1" x14ac:dyDescent="0.3">
      <c r="B59" s="1011" t="str">
        <f>IF(BCA!I8=1,BCA!H5,IF(BCA!I8=2,BCA!H6,IF(BCA!I8=3,BCA!H7,IF(BCA!I8=4,BCA!#REF!,IF(BCA!I8=5,"error")))))</f>
        <v>6-Lane CD SDI</v>
      </c>
      <c r="C59" s="1919" t="s">
        <v>935</v>
      </c>
      <c r="D59" s="1919"/>
      <c r="E59" s="1919"/>
      <c r="F59" s="1919"/>
      <c r="G59" s="1919"/>
      <c r="H59" s="1919"/>
      <c r="I59" s="1919"/>
      <c r="J59" s="1919"/>
      <c r="K59" s="1919"/>
      <c r="L59" s="1919"/>
      <c r="M59" s="1919"/>
      <c r="N59" s="1919"/>
      <c r="O59" s="1919"/>
      <c r="P59" s="1919"/>
      <c r="Q59" s="1919"/>
      <c r="R59" s="1919"/>
      <c r="S59" s="1919"/>
      <c r="T59" s="1919"/>
      <c r="U59" s="1919"/>
      <c r="V59" s="1919"/>
      <c r="W59" s="1919"/>
      <c r="X59" s="1427"/>
      <c r="Y59" s="1427"/>
      <c r="Z59" s="1427"/>
    </row>
    <row r="60" spans="1:49" ht="15.75" thickBot="1" x14ac:dyDescent="0.3">
      <c r="C60" s="417">
        <v>2020</v>
      </c>
      <c r="D60" s="417">
        <f>C60+1</f>
        <v>2021</v>
      </c>
      <c r="E60" s="417">
        <f t="shared" ref="E60:W60" si="38">D60+1</f>
        <v>2022</v>
      </c>
      <c r="F60" s="417">
        <f t="shared" si="38"/>
        <v>2023</v>
      </c>
      <c r="G60" s="417">
        <f t="shared" si="38"/>
        <v>2024</v>
      </c>
      <c r="H60" s="417">
        <f t="shared" si="38"/>
        <v>2025</v>
      </c>
      <c r="I60" s="417">
        <f t="shared" si="38"/>
        <v>2026</v>
      </c>
      <c r="J60" s="417">
        <f t="shared" si="38"/>
        <v>2027</v>
      </c>
      <c r="K60" s="417">
        <f t="shared" si="38"/>
        <v>2028</v>
      </c>
      <c r="L60" s="417">
        <f t="shared" si="38"/>
        <v>2029</v>
      </c>
      <c r="M60" s="417">
        <f t="shared" si="38"/>
        <v>2030</v>
      </c>
      <c r="N60" s="417">
        <f t="shared" si="38"/>
        <v>2031</v>
      </c>
      <c r="O60" s="417">
        <f t="shared" si="38"/>
        <v>2032</v>
      </c>
      <c r="P60" s="417">
        <f t="shared" si="38"/>
        <v>2033</v>
      </c>
      <c r="Q60" s="417">
        <f t="shared" si="38"/>
        <v>2034</v>
      </c>
      <c r="R60" s="417">
        <f t="shared" si="38"/>
        <v>2035</v>
      </c>
      <c r="S60" s="417">
        <f t="shared" si="38"/>
        <v>2036</v>
      </c>
      <c r="T60" s="417">
        <f t="shared" si="38"/>
        <v>2037</v>
      </c>
      <c r="U60" s="417">
        <f t="shared" si="38"/>
        <v>2038</v>
      </c>
      <c r="V60" s="417">
        <f t="shared" si="38"/>
        <v>2039</v>
      </c>
      <c r="W60" s="417">
        <f t="shared" si="38"/>
        <v>2040</v>
      </c>
      <c r="X60" s="417">
        <f t="shared" ref="X60:Z60" si="39">W60+1</f>
        <v>2041</v>
      </c>
      <c r="Y60" s="417">
        <f t="shared" si="39"/>
        <v>2042</v>
      </c>
      <c r="Z60" s="417">
        <f t="shared" si="39"/>
        <v>2043</v>
      </c>
    </row>
    <row r="61" spans="1:49" ht="15" x14ac:dyDescent="0.25">
      <c r="B61" s="282" t="str">
        <f>VMT.VHT.ADT.Trip.Tables!B66</f>
        <v>Auto.Leisure</v>
      </c>
      <c r="E61" s="420"/>
      <c r="F61" s="420">
        <f>IF(BCA!$I$8=1,VMT.VHT.ADT.Trip.Tables!C58,IF(BCA!$I$8=2,VMT.VHT.ADT.Trip.Tables!C66,IF(BCA!$I$8=3,VMT.VHT.ADT.Trip.Tables!C74,IF(BCA!$I$8=4,VMT.VHT.ADT.Trip.Tables!#REF!,IF(BCA!$I$8=5,VMT.VHT.ADT.Trip.Tables!#REF!)))))</f>
        <v>96446324.580816433</v>
      </c>
      <c r="G61" s="420">
        <f>IF(BCA!$I$8=1,VMT.VHT.ADT.Trip.Tables!D58,IF(BCA!$I$8=2,VMT.VHT.ADT.Trip.Tables!D66,IF(BCA!$I$8=3,VMT.VHT.ADT.Trip.Tables!D74,IF(BCA!$I$8=4,VMT.VHT.ADT.Trip.Tables!#REF!,IF(BCA!$I$8=5,VMT.VHT.ADT.Trip.Tables!#REF!)))))</f>
        <v>97413008.271002159</v>
      </c>
      <c r="H61" s="420">
        <f>IF(BCA!$I$8=1,VMT.VHT.ADT.Trip.Tables!E58,IF(BCA!$I$8=2,VMT.VHT.ADT.Trip.Tables!E66,IF(BCA!$I$8=3,VMT.VHT.ADT.Trip.Tables!E74,IF(BCA!$I$8=4,VMT.VHT.ADT.Trip.Tables!#REF!,IF(BCA!$I$8=5,VMT.VHT.ADT.Trip.Tables!#REF!)))))</f>
        <v>98389381.053653911</v>
      </c>
      <c r="I61" s="420">
        <f>IF(BCA!$I$8=1,VMT.VHT.ADT.Trip.Tables!F58,IF(BCA!$I$8=2,VMT.VHT.ADT.Trip.Tables!F66,IF(BCA!$I$8=3,VMT.VHT.ADT.Trip.Tables!F74,IF(BCA!$I$8=4,VMT.VHT.ADT.Trip.Tables!#REF!,IF(BCA!$I$8=5,VMT.VHT.ADT.Trip.Tables!#REF!)))))</f>
        <v>99375540.042764366</v>
      </c>
      <c r="J61" s="420">
        <f>IF(BCA!$I$8=1,VMT.VHT.ADT.Trip.Tables!G58,IF(BCA!$I$8=2,VMT.VHT.ADT.Trip.Tables!G66,IF(BCA!$I$8=3,VMT.VHT.ADT.Trip.Tables!G74,IF(BCA!$I$8=4,VMT.VHT.ADT.Trip.Tables!#REF!,IF(BCA!$I$8=5,VMT.VHT.ADT.Trip.Tables!#REF!)))))</f>
        <v>100371583.32570194</v>
      </c>
      <c r="K61" s="420">
        <f>IF(BCA!$I$8=1,VMT.VHT.ADT.Trip.Tables!H58,IF(BCA!$I$8=2,VMT.VHT.ADT.Trip.Tables!H66,IF(BCA!$I$8=3,VMT.VHT.ADT.Trip.Tables!H74,IF(BCA!$I$8=4,VMT.VHT.ADT.Trip.Tables!#REF!,IF(BCA!$I$8=5,VMT.VHT.ADT.Trip.Tables!#REF!)))))</f>
        <v>101377609.97296698</v>
      </c>
      <c r="L61" s="420">
        <f>IF(BCA!$I$8=1,VMT.VHT.ADT.Trip.Tables!I58,IF(BCA!$I$8=2,VMT.VHT.ADT.Trip.Tables!I66,IF(BCA!$I$8=3,VMT.VHT.ADT.Trip.Tables!I74,IF(BCA!$I$8=4,VMT.VHT.ADT.Trip.Tables!#REF!,IF(BCA!$I$8=5,VMT.VHT.ADT.Trip.Tables!#REF!)))))</f>
        <v>102393720.04804568</v>
      </c>
      <c r="M61" s="420">
        <f>IF(BCA!$I$8=1,VMT.VHT.ADT.Trip.Tables!J58,IF(BCA!$I$8=2,VMT.VHT.ADT.Trip.Tables!J66,IF(BCA!$I$8=3,VMT.VHT.ADT.Trip.Tables!J74,IF(BCA!$I$8=4,VMT.VHT.ADT.Trip.Tables!#REF!,IF(BCA!$I$8=5,VMT.VHT.ADT.Trip.Tables!#REF!)))))</f>
        <v>103420014.61736283</v>
      </c>
      <c r="N61" s="420">
        <f>IF(BCA!$I$8=1,VMT.VHT.ADT.Trip.Tables!K58,IF(BCA!$I$8=2,VMT.VHT.ADT.Trip.Tables!K66,IF(BCA!$I$8=3,VMT.VHT.ADT.Trip.Tables!K74,IF(BCA!$I$8=4,VMT.VHT.ADT.Trip.Tables!#REF!,IF(BCA!$I$8=5,VMT.VHT.ADT.Trip.Tables!#REF!)))))</f>
        <v>104456595.76033424</v>
      </c>
      <c r="O61" s="420">
        <f>IF(BCA!$I$8=1,VMT.VHT.ADT.Trip.Tables!L58,IF(BCA!$I$8=2,VMT.VHT.ADT.Trip.Tables!L66,IF(BCA!$I$8=3,VMT.VHT.ADT.Trip.Tables!L74,IF(BCA!$I$8=4,VMT.VHT.ADT.Trip.Tables!#REF!,IF(BCA!$I$8=5,VMT.VHT.ADT.Trip.Tables!#REF!)))))</f>
        <v>105503566.57952006</v>
      </c>
      <c r="P61" s="420">
        <f>IF(BCA!$I$8=1,VMT.VHT.ADT.Trip.Tables!M58,IF(BCA!$I$8=2,VMT.VHT.ADT.Trip.Tables!M66,IF(BCA!$I$8=3,VMT.VHT.ADT.Trip.Tables!M74,IF(BCA!$I$8=4,VMT.VHT.ADT.Trip.Tables!#REF!,IF(BCA!$I$8=5,VMT.VHT.ADT.Trip.Tables!#REF!)))))</f>
        <v>106561031.21087971</v>
      </c>
      <c r="Q61" s="420">
        <f>IF(BCA!$I$8=1,VMT.VHT.ADT.Trip.Tables!N58,IF(BCA!$I$8=2,VMT.VHT.ADT.Trip.Tables!N66,IF(BCA!$I$8=3,VMT.VHT.ADT.Trip.Tables!N74,IF(BCA!$I$8=4,VMT.VHT.ADT.Trip.Tables!#REF!,IF(BCA!$I$8=5,VMT.VHT.ADT.Trip.Tables!#REF!)))))</f>
        <v>107629094.83412971</v>
      </c>
      <c r="R61" s="420">
        <f>IF(BCA!$I$8=1,VMT.VHT.ADT.Trip.Tables!O58,IF(BCA!$I$8=2,VMT.VHT.ADT.Trip.Tables!O66,IF(BCA!$I$8=3,VMT.VHT.ADT.Trip.Tables!O74,IF(BCA!$I$8=4,VMT.VHT.ADT.Trip.Tables!#REF!,IF(BCA!$I$8=5,VMT.VHT.ADT.Trip.Tables!#REF!)))))</f>
        <v>108707863.68320517</v>
      </c>
      <c r="S61" s="420">
        <f>IF(BCA!$I$8=1,VMT.VHT.ADT.Trip.Tables!P58,IF(BCA!$I$8=2,VMT.VHT.ADT.Trip.Tables!P66,IF(BCA!$I$8=3,VMT.VHT.ADT.Trip.Tables!P74,IF(BCA!$I$8=4,VMT.VHT.ADT.Trip.Tables!#REF!,IF(BCA!$I$8=5,VMT.VHT.ADT.Trip.Tables!#REF!)))))</f>
        <v>109797445.05682644</v>
      </c>
      <c r="T61" s="420">
        <f>IF(BCA!$I$8=1,VMT.VHT.ADT.Trip.Tables!Q58,IF(BCA!$I$8=2,VMT.VHT.ADT.Trip.Tables!Q66,IF(BCA!$I$8=3,VMT.VHT.ADT.Trip.Tables!Q74,IF(BCA!$I$8=4,VMT.VHT.ADT.Trip.Tables!#REF!,IF(BCA!$I$8=5,VMT.VHT.ADT.Trip.Tables!#REF!)))))</f>
        <v>110897947.32917129</v>
      </c>
      <c r="U61" s="420">
        <f>IF(BCA!$I$8=1,VMT.VHT.ADT.Trip.Tables!R58,IF(BCA!$I$8=2,VMT.VHT.ADT.Trip.Tables!R66,IF(BCA!$I$8=3,VMT.VHT.ADT.Trip.Tables!R74,IF(BCA!$I$8=4,VMT.VHT.ADT.Trip.Tables!#REF!,IF(BCA!$I$8=5,VMT.VHT.ADT.Trip.Tables!#REF!)))))</f>
        <v>112009479.96065439</v>
      </c>
      <c r="V61" s="420">
        <f>IF(BCA!$I$8=1,VMT.VHT.ADT.Trip.Tables!S58,IF(BCA!$I$8=2,VMT.VHT.ADT.Trip.Tables!S66,IF(BCA!$I$8=3,VMT.VHT.ADT.Trip.Tables!S74,IF(BCA!$I$8=4,VMT.VHT.ADT.Trip.Tables!#REF!,IF(BCA!$I$8=5,VMT.VHT.ADT.Trip.Tables!#REF!)))))</f>
        <v>113132153.50881453</v>
      </c>
      <c r="W61" s="420">
        <f>IF(BCA!$I$8=1,VMT.VHT.ADT.Trip.Tables!T58,IF(BCA!$I$8=2,VMT.VHT.ADT.Trip.Tables!T66,IF(BCA!$I$8=3,VMT.VHT.ADT.Trip.Tables!T74,IF(BCA!$I$8=4,VMT.VHT.ADT.Trip.Tables!#REF!,IF(BCA!$I$8=5,VMT.VHT.ADT.Trip.Tables!#REF!)))))</f>
        <v>114266079.63931128</v>
      </c>
      <c r="X61" s="420">
        <f>IF(BCA!$I$8=1,VMT.VHT.ADT.Trip.Tables!U58,IF(BCA!$I$8=2,VMT.VHT.ADT.Trip.Tables!U66,IF(BCA!$I$8=3,VMT.VHT.ADT.Trip.Tables!U74,IF(BCA!$I$8=4,VMT.VHT.ADT.Trip.Tables!#REF!,IF(BCA!$I$8=5,VMT.VHT.ADT.Trip.Tables!#REF!)))))</f>
        <v>115411371.13703163</v>
      </c>
      <c r="Y61" s="420">
        <f>IF(BCA!$I$8=1,VMT.VHT.ADT.Trip.Tables!V58,IF(BCA!$I$8=2,VMT.VHT.ADT.Trip.Tables!V66,IF(BCA!$I$8=3,VMT.VHT.ADT.Trip.Tables!V74,IF(BCA!$I$8=4,VMT.VHT.ADT.Trip.Tables!#REF!,IF(BCA!$I$8=5,VMT.VHT.ADT.Trip.Tables!#REF!)))))</f>
        <v>116568141.91730805</v>
      </c>
      <c r="Z61" s="420">
        <f>IF(BCA!$I$8=1,VMT.VHT.ADT.Trip.Tables!W58,IF(BCA!$I$8=2,VMT.VHT.ADT.Trip.Tables!W66,IF(BCA!$I$8=3,VMT.VHT.ADT.Trip.Tables!W74,IF(BCA!$I$8=4,VMT.VHT.ADT.Trip.Tables!#REF!,IF(BCA!$I$8=5,VMT.VHT.ADT.Trip.Tables!#REF!)))))</f>
        <v>117736507.03724885</v>
      </c>
      <c r="AA61" s="711">
        <f>SUM(F61:Z61)</f>
        <v>2241864459.5667496</v>
      </c>
    </row>
    <row r="62" spans="1:49" ht="15" x14ac:dyDescent="0.25">
      <c r="B62" s="282" t="str">
        <f>VMT.VHT.ADT.Trip.Tables!B67</f>
        <v>Auto.Commute</v>
      </c>
      <c r="E62" s="420"/>
      <c r="F62" s="420">
        <f>IF(BCA!$I$8=1,VMT.VHT.ADT.Trip.Tables!C59,IF(BCA!$I$8=2,VMT.VHT.ADT.Trip.Tables!C67,IF(BCA!$I$8=3,VMT.VHT.ADT.Trip.Tables!C75,IF(BCA!$I$8=4,VMT.VHT.ADT.Trip.Tables!#REF!,IF(BCA!$I$8=5,VMT.VHT.ADT.Trip.Tables!#REF!)))))</f>
        <v>52355274.142207876</v>
      </c>
      <c r="G62" s="420">
        <f>IF(BCA!$I$8=1,VMT.VHT.ADT.Trip.Tables!D59,IF(BCA!$I$8=2,VMT.VHT.ADT.Trip.Tables!D67,IF(BCA!$I$8=3,VMT.VHT.ADT.Trip.Tables!D75,IF(BCA!$I$8=4,VMT.VHT.ADT.Trip.Tables!#REF!,IF(BCA!$I$8=5,VMT.VHT.ADT.Trip.Tables!#REF!)))))</f>
        <v>52475733.507148951</v>
      </c>
      <c r="H62" s="420">
        <f>IF(BCA!$I$8=1,VMT.VHT.ADT.Trip.Tables!E59,IF(BCA!$I$8=2,VMT.VHT.ADT.Trip.Tables!E67,IF(BCA!$I$8=3,VMT.VHT.ADT.Trip.Tables!E75,IF(BCA!$I$8=4,VMT.VHT.ADT.Trip.Tables!#REF!,IF(BCA!$I$8=5,VMT.VHT.ADT.Trip.Tables!#REF!)))))</f>
        <v>52596470.025802612</v>
      </c>
      <c r="I62" s="420">
        <f>IF(BCA!$I$8=1,VMT.VHT.ADT.Trip.Tables!F59,IF(BCA!$I$8=2,VMT.VHT.ADT.Trip.Tables!F67,IF(BCA!$I$8=3,VMT.VHT.ADT.Trip.Tables!F75,IF(BCA!$I$8=4,VMT.VHT.ADT.Trip.Tables!#REF!,IF(BCA!$I$8=5,VMT.VHT.ADT.Trip.Tables!#REF!)))))</f>
        <v>52717484.335845985</v>
      </c>
      <c r="J62" s="420">
        <f>IF(BCA!$I$8=1,VMT.VHT.ADT.Trip.Tables!G59,IF(BCA!$I$8=2,VMT.VHT.ADT.Trip.Tables!G67,IF(BCA!$I$8=3,VMT.VHT.ADT.Trip.Tables!G75,IF(BCA!$I$8=4,VMT.VHT.ADT.Trip.Tables!#REF!,IF(BCA!$I$8=5,VMT.VHT.ADT.Trip.Tables!#REF!)))))</f>
        <v>52838777.076423332</v>
      </c>
      <c r="K62" s="420">
        <f>IF(BCA!$I$8=1,VMT.VHT.ADT.Trip.Tables!H59,IF(BCA!$I$8=2,VMT.VHT.ADT.Trip.Tables!H67,IF(BCA!$I$8=3,VMT.VHT.ADT.Trip.Tables!H75,IF(BCA!$I$8=4,VMT.VHT.ADT.Trip.Tables!#REF!,IF(BCA!$I$8=5,VMT.VHT.ADT.Trip.Tables!#REF!)))))</f>
        <v>52960348.888149522</v>
      </c>
      <c r="L62" s="420">
        <f>IF(BCA!$I$8=1,VMT.VHT.ADT.Trip.Tables!I59,IF(BCA!$I$8=2,VMT.VHT.ADT.Trip.Tables!I67,IF(BCA!$I$8=3,VMT.VHT.ADT.Trip.Tables!I75,IF(BCA!$I$8=4,VMT.VHT.ADT.Trip.Tables!#REF!,IF(BCA!$I$8=5,VMT.VHT.ADT.Trip.Tables!#REF!)))))</f>
        <v>53082200.413113296</v>
      </c>
      <c r="M62" s="420">
        <f>IF(BCA!$I$8=1,VMT.VHT.ADT.Trip.Tables!J59,IF(BCA!$I$8=2,VMT.VHT.ADT.Trip.Tables!J67,IF(BCA!$I$8=3,VMT.VHT.ADT.Trip.Tables!J75,IF(BCA!$I$8=4,VMT.VHT.ADT.Trip.Tables!#REF!,IF(BCA!$I$8=5,VMT.VHT.ADT.Trip.Tables!#REF!)))))</f>
        <v>53204332.29488074</v>
      </c>
      <c r="N62" s="420">
        <f>IF(BCA!$I$8=1,VMT.VHT.ADT.Trip.Tables!K59,IF(BCA!$I$8=2,VMT.VHT.ADT.Trip.Tables!K67,IF(BCA!$I$8=3,VMT.VHT.ADT.Trip.Tables!K75,IF(BCA!$I$8=4,VMT.VHT.ADT.Trip.Tables!#REF!,IF(BCA!$I$8=5,VMT.VHT.ADT.Trip.Tables!#REF!)))))</f>
        <v>53326745.178498678</v>
      </c>
      <c r="O62" s="420">
        <f>IF(BCA!$I$8=1,VMT.VHT.ADT.Trip.Tables!L59,IF(BCA!$I$8=2,VMT.VHT.ADT.Trip.Tables!L67,IF(BCA!$I$8=3,VMT.VHT.ADT.Trip.Tables!L75,IF(BCA!$I$8=4,VMT.VHT.ADT.Trip.Tables!#REF!,IF(BCA!$I$8=5,VMT.VHT.ADT.Trip.Tables!#REF!)))))</f>
        <v>53449439.71049805</v>
      </c>
      <c r="P62" s="420">
        <f>IF(BCA!$I$8=1,VMT.VHT.ADT.Trip.Tables!M59,IF(BCA!$I$8=2,VMT.VHT.ADT.Trip.Tables!M67,IF(BCA!$I$8=3,VMT.VHT.ADT.Trip.Tables!M75,IF(BCA!$I$8=4,VMT.VHT.ADT.Trip.Tables!#REF!,IF(BCA!$I$8=5,VMT.VHT.ADT.Trip.Tables!#REF!)))))</f>
        <v>53572416.538897313</v>
      </c>
      <c r="Q62" s="420">
        <f>IF(BCA!$I$8=1,VMT.VHT.ADT.Trip.Tables!N59,IF(BCA!$I$8=2,VMT.VHT.ADT.Trip.Tables!N67,IF(BCA!$I$8=3,VMT.VHT.ADT.Trip.Tables!N75,IF(BCA!$I$8=4,VMT.VHT.ADT.Trip.Tables!#REF!,IF(BCA!$I$8=5,VMT.VHT.ADT.Trip.Tables!#REF!)))))</f>
        <v>53695676.313205928</v>
      </c>
      <c r="R62" s="420">
        <f>IF(BCA!$I$8=1,VMT.VHT.ADT.Trip.Tables!O59,IF(BCA!$I$8=2,VMT.VHT.ADT.Trip.Tables!O67,IF(BCA!$I$8=3,VMT.VHT.ADT.Trip.Tables!O75,IF(BCA!$I$8=4,VMT.VHT.ADT.Trip.Tables!#REF!,IF(BCA!$I$8=5,VMT.VHT.ADT.Trip.Tables!#REF!)))))</f>
        <v>53819219.684427746</v>
      </c>
      <c r="S62" s="420">
        <f>IF(BCA!$I$8=1,VMT.VHT.ADT.Trip.Tables!P59,IF(BCA!$I$8=2,VMT.VHT.ADT.Trip.Tables!P67,IF(BCA!$I$8=3,VMT.VHT.ADT.Trip.Tables!P75,IF(BCA!$I$8=4,VMT.VHT.ADT.Trip.Tables!#REF!,IF(BCA!$I$8=5,VMT.VHT.ADT.Trip.Tables!#REF!)))))</f>
        <v>53943047.305064417</v>
      </c>
      <c r="T62" s="420">
        <f>IF(BCA!$I$8=1,VMT.VHT.ADT.Trip.Tables!Q59,IF(BCA!$I$8=2,VMT.VHT.ADT.Trip.Tables!Q67,IF(BCA!$I$8=3,VMT.VHT.ADT.Trip.Tables!Q75,IF(BCA!$I$8=4,VMT.VHT.ADT.Trip.Tables!#REF!,IF(BCA!$I$8=5,VMT.VHT.ADT.Trip.Tables!#REF!)))))</f>
        <v>54067159.829118922</v>
      </c>
      <c r="U62" s="420">
        <f>IF(BCA!$I$8=1,VMT.VHT.ADT.Trip.Tables!R59,IF(BCA!$I$8=2,VMT.VHT.ADT.Trip.Tables!R67,IF(BCA!$I$8=3,VMT.VHT.ADT.Trip.Tables!R75,IF(BCA!$I$8=4,VMT.VHT.ADT.Trip.Tables!#REF!,IF(BCA!$I$8=5,VMT.VHT.ADT.Trip.Tables!#REF!)))))</f>
        <v>54191557.912098914</v>
      </c>
      <c r="V62" s="420">
        <f>IF(BCA!$I$8=1,VMT.VHT.ADT.Trip.Tables!S59,IF(BCA!$I$8=2,VMT.VHT.ADT.Trip.Tables!S67,IF(BCA!$I$8=3,VMT.VHT.ADT.Trip.Tables!S75,IF(BCA!$I$8=4,VMT.VHT.ADT.Trip.Tables!#REF!,IF(BCA!$I$8=5,VMT.VHT.ADT.Trip.Tables!#REF!)))))</f>
        <v>54316242.211020328</v>
      </c>
      <c r="W62" s="420">
        <f>IF(BCA!$I$8=1,VMT.VHT.ADT.Trip.Tables!T59,IF(BCA!$I$8=2,VMT.VHT.ADT.Trip.Tables!T67,IF(BCA!$I$8=3,VMT.VHT.ADT.Trip.Tables!T75,IF(BCA!$I$8=4,VMT.VHT.ADT.Trip.Tables!#REF!,IF(BCA!$I$8=5,VMT.VHT.ADT.Trip.Tables!#REF!)))))</f>
        <v>54441213.384410672</v>
      </c>
      <c r="X62" s="420">
        <f>IF(BCA!$I$8=1,VMT.VHT.ADT.Trip.Tables!U59,IF(BCA!$I$8=2,VMT.VHT.ADT.Trip.Tables!U67,IF(BCA!$I$8=3,VMT.VHT.ADT.Trip.Tables!U75,IF(BCA!$I$8=4,VMT.VHT.ADT.Trip.Tables!#REF!,IF(BCA!$I$8=5,VMT.VHT.ADT.Trip.Tables!#REF!)))))</f>
        <v>54566472.092312671</v>
      </c>
      <c r="Y62" s="420">
        <f>IF(BCA!$I$8=1,VMT.VHT.ADT.Trip.Tables!V59,IF(BCA!$I$8=2,VMT.VHT.ADT.Trip.Tables!V67,IF(BCA!$I$8=3,VMT.VHT.ADT.Trip.Tables!V75,IF(BCA!$I$8=4,VMT.VHT.ADT.Trip.Tables!#REF!,IF(BCA!$I$8=5,VMT.VHT.ADT.Trip.Tables!#REF!)))))</f>
        <v>54692018.996287644</v>
      </c>
      <c r="Z62" s="420">
        <f>IF(BCA!$I$8=1,VMT.VHT.ADT.Trip.Tables!W59,IF(BCA!$I$8=2,VMT.VHT.ADT.Trip.Tables!W67,IF(BCA!$I$8=3,VMT.VHT.ADT.Trip.Tables!W75,IF(BCA!$I$8=4,VMT.VHT.ADT.Trip.Tables!#REF!,IF(BCA!$I$8=5,VMT.VHT.ADT.Trip.Tables!#REF!)))))</f>
        <v>54817854.759419039</v>
      </c>
      <c r="AA62" s="711">
        <f>SUM(F62:Z62)</f>
        <v>1125129684.5988326</v>
      </c>
    </row>
    <row r="63" spans="1:49" ht="15" x14ac:dyDescent="0.25">
      <c r="B63" s="282" t="str">
        <f>VMT.VHT.ADT.Trip.Tables!B68</f>
        <v>Auto.Business</v>
      </c>
      <c r="E63" s="420"/>
      <c r="F63" s="420">
        <f>IF(BCA!$I$8=1,VMT.VHT.ADT.Trip.Tables!C60,IF(BCA!$I$8=2,VMT.VHT.ADT.Trip.Tables!C68,IF(BCA!$I$8=3,VMT.VHT.ADT.Trip.Tables!C76,IF(BCA!$I$8=4,VMT.VHT.ADT.Trip.Tables!#REF!,IF(BCA!$I$8=5,VMT.VHT.ADT.Trip.Tables!#REF!)))))</f>
        <v>31744986.975308243</v>
      </c>
      <c r="G63" s="420">
        <f>IF(BCA!$I$8=1,VMT.VHT.ADT.Trip.Tables!D60,IF(BCA!$I$8=2,VMT.VHT.ADT.Trip.Tables!D68,IF(BCA!$I$8=3,VMT.VHT.ADT.Trip.Tables!D76,IF(BCA!$I$8=4,VMT.VHT.ADT.Trip.Tables!#REF!,IF(BCA!$I$8=5,VMT.VHT.ADT.Trip.Tables!#REF!)))))</f>
        <v>32060051.32207986</v>
      </c>
      <c r="H63" s="420">
        <f>IF(BCA!$I$8=1,VMT.VHT.ADT.Trip.Tables!E60,IF(BCA!$I$8=2,VMT.VHT.ADT.Trip.Tables!E68,IF(BCA!$I$8=3,VMT.VHT.ADT.Trip.Tables!E76,IF(BCA!$I$8=4,VMT.VHT.ADT.Trip.Tables!#REF!,IF(BCA!$I$8=5,VMT.VHT.ADT.Trip.Tables!#REF!)))))</f>
        <v>32378242.63635296</v>
      </c>
      <c r="I63" s="420">
        <f>IF(BCA!$I$8=1,VMT.VHT.ADT.Trip.Tables!F60,IF(BCA!$I$8=2,VMT.VHT.ADT.Trip.Tables!F68,IF(BCA!$I$8=3,VMT.VHT.ADT.Trip.Tables!F76,IF(BCA!$I$8=4,VMT.VHT.ADT.Trip.Tables!#REF!,IF(BCA!$I$8=5,VMT.VHT.ADT.Trip.Tables!#REF!)))))</f>
        <v>32699591.952822052</v>
      </c>
      <c r="J63" s="420">
        <f>IF(BCA!$I$8=1,VMT.VHT.ADT.Trip.Tables!G60,IF(BCA!$I$8=2,VMT.VHT.ADT.Trip.Tables!G68,IF(BCA!$I$8=3,VMT.VHT.ADT.Trip.Tables!G76,IF(BCA!$I$8=4,VMT.VHT.ADT.Trip.Tables!#REF!,IF(BCA!$I$8=5,VMT.VHT.ADT.Trip.Tables!#REF!)))))</f>
        <v>33024130.614196457</v>
      </c>
      <c r="K63" s="420">
        <f>IF(BCA!$I$8=1,VMT.VHT.ADT.Trip.Tables!H60,IF(BCA!$I$8=2,VMT.VHT.ADT.Trip.Tables!H68,IF(BCA!$I$8=3,VMT.VHT.ADT.Trip.Tables!H76,IF(BCA!$I$8=4,VMT.VHT.ADT.Trip.Tables!#REF!,IF(BCA!$I$8=5,VMT.VHT.ADT.Trip.Tables!#REF!)))))</f>
        <v>33351890.274257284</v>
      </c>
      <c r="L63" s="420">
        <f>IF(BCA!$I$8=1,VMT.VHT.ADT.Trip.Tables!I60,IF(BCA!$I$8=2,VMT.VHT.ADT.Trip.Tables!I68,IF(BCA!$I$8=3,VMT.VHT.ADT.Trip.Tables!I76,IF(BCA!$I$8=4,VMT.VHT.ADT.Trip.Tables!#REF!,IF(BCA!$I$8=5,VMT.VHT.ADT.Trip.Tables!#REF!)))))</f>
        <v>33682902.900944799</v>
      </c>
      <c r="M63" s="420">
        <f>IF(BCA!$I$8=1,VMT.VHT.ADT.Trip.Tables!J60,IF(BCA!$I$8=2,VMT.VHT.ADT.Trip.Tables!J68,IF(BCA!$I$8=3,VMT.VHT.ADT.Trip.Tables!J76,IF(BCA!$I$8=4,VMT.VHT.ADT.Trip.Tables!#REF!,IF(BCA!$I$8=5,VMT.VHT.ADT.Trip.Tables!#REF!)))))</f>
        <v>34017200.779476374</v>
      </c>
      <c r="N63" s="420">
        <f>IF(BCA!$I$8=1,VMT.VHT.ADT.Trip.Tables!K60,IF(BCA!$I$8=2,VMT.VHT.ADT.Trip.Tables!K68,IF(BCA!$I$8=3,VMT.VHT.ADT.Trip.Tables!K76,IF(BCA!$I$8=4,VMT.VHT.ADT.Trip.Tables!#REF!,IF(BCA!$I$8=5,VMT.VHT.ADT.Trip.Tables!#REF!)))))</f>
        <v>34354816.515495449</v>
      </c>
      <c r="O63" s="420">
        <f>IF(BCA!$I$8=1,VMT.VHT.ADT.Trip.Tables!L60,IF(BCA!$I$8=2,VMT.VHT.ADT.Trip.Tables!L68,IF(BCA!$I$8=3,VMT.VHT.ADT.Trip.Tables!L76,IF(BCA!$I$8=4,VMT.VHT.ADT.Trip.Tables!#REF!,IF(BCA!$I$8=5,VMT.VHT.ADT.Trip.Tables!#REF!)))))</f>
        <v>34695783.038251698</v>
      </c>
      <c r="P63" s="420">
        <f>IF(BCA!$I$8=1,VMT.VHT.ADT.Trip.Tables!M60,IF(BCA!$I$8=2,VMT.VHT.ADT.Trip.Tables!M68,IF(BCA!$I$8=3,VMT.VHT.ADT.Trip.Tables!M76,IF(BCA!$I$8=4,VMT.VHT.ADT.Trip.Tables!#REF!,IF(BCA!$I$8=5,VMT.VHT.ADT.Trip.Tables!#REF!)))))</f>
        <v>35040133.603812784</v>
      </c>
      <c r="Q63" s="420">
        <f>IF(BCA!$I$8=1,VMT.VHT.ADT.Trip.Tables!N60,IF(BCA!$I$8=2,VMT.VHT.ADT.Trip.Tables!N68,IF(BCA!$I$8=3,VMT.VHT.ADT.Trip.Tables!N76,IF(BCA!$I$8=4,VMT.VHT.ADT.Trip.Tables!#REF!,IF(BCA!$I$8=5,VMT.VHT.ADT.Trip.Tables!#REF!)))))</f>
        <v>35387901.798307963</v>
      </c>
      <c r="R63" s="420">
        <f>IF(BCA!$I$8=1,VMT.VHT.ADT.Trip.Tables!O60,IF(BCA!$I$8=2,VMT.VHT.ADT.Trip.Tables!O68,IF(BCA!$I$8=3,VMT.VHT.ADT.Trip.Tables!O76,IF(BCA!$I$8=4,VMT.VHT.ADT.Trip.Tables!#REF!,IF(BCA!$I$8=5,VMT.VHT.ADT.Trip.Tables!#REF!)))))</f>
        <v>35739121.541203879</v>
      </c>
      <c r="S63" s="420">
        <f>IF(BCA!$I$8=1,VMT.VHT.ADT.Trip.Tables!P60,IF(BCA!$I$8=2,VMT.VHT.ADT.Trip.Tables!P68,IF(BCA!$I$8=3,VMT.VHT.ADT.Trip.Tables!P76,IF(BCA!$I$8=4,VMT.VHT.ADT.Trip.Tables!#REF!,IF(BCA!$I$8=5,VMT.VHT.ADT.Trip.Tables!#REF!)))))</f>
        <v>36093827.088612966</v>
      </c>
      <c r="T63" s="420">
        <f>IF(BCA!$I$8=1,VMT.VHT.ADT.Trip.Tables!Q60,IF(BCA!$I$8=2,VMT.VHT.ADT.Trip.Tables!Q68,IF(BCA!$I$8=3,VMT.VHT.ADT.Trip.Tables!Q76,IF(BCA!$I$8=4,VMT.VHT.ADT.Trip.Tables!#REF!,IF(BCA!$I$8=5,VMT.VHT.ADT.Trip.Tables!#REF!)))))</f>
        <v>36452053.03663452</v>
      </c>
      <c r="U63" s="420">
        <f>IF(BCA!$I$8=1,VMT.VHT.ADT.Trip.Tables!R60,IF(BCA!$I$8=2,VMT.VHT.ADT.Trip.Tables!R68,IF(BCA!$I$8=3,VMT.VHT.ADT.Trip.Tables!R76,IF(BCA!$I$8=4,VMT.VHT.ADT.Trip.Tables!#REF!,IF(BCA!$I$8=5,VMT.VHT.ADT.Trip.Tables!#REF!)))))</f>
        <v>36813834.32472907</v>
      </c>
      <c r="V63" s="420">
        <f>IF(BCA!$I$8=1,VMT.VHT.ADT.Trip.Tables!S60,IF(BCA!$I$8=2,VMT.VHT.ADT.Trip.Tables!S68,IF(BCA!$I$8=3,VMT.VHT.ADT.Trip.Tables!S76,IF(BCA!$I$8=4,VMT.VHT.ADT.Trip.Tables!#REF!,IF(BCA!$I$8=5,VMT.VHT.ADT.Trip.Tables!#REF!)))))</f>
        <v>37179206.239126168</v>
      </c>
      <c r="W63" s="420">
        <f>IF(BCA!$I$8=1,VMT.VHT.ADT.Trip.Tables!T60,IF(BCA!$I$8=2,VMT.VHT.ADT.Trip.Tables!T68,IF(BCA!$I$8=3,VMT.VHT.ADT.Trip.Tables!T76,IF(BCA!$I$8=4,VMT.VHT.ADT.Trip.Tables!#REF!,IF(BCA!$I$8=5,VMT.VHT.ADT.Trip.Tables!#REF!)))))</f>
        <v>37548204.416266032</v>
      </c>
      <c r="X63" s="420">
        <f>IF(BCA!$I$8=1,VMT.VHT.ADT.Trip.Tables!U60,IF(BCA!$I$8=2,VMT.VHT.ADT.Trip.Tables!U68,IF(BCA!$I$8=3,VMT.VHT.ADT.Trip.Tables!U76,IF(BCA!$I$8=4,VMT.VHT.ADT.Trip.Tables!#REF!,IF(BCA!$I$8=5,VMT.VHT.ADT.Trip.Tables!#REF!)))))</f>
        <v>37920864.846275337</v>
      </c>
      <c r="Y63" s="420">
        <f>IF(BCA!$I$8=1,VMT.VHT.ADT.Trip.Tables!V60,IF(BCA!$I$8=2,VMT.VHT.ADT.Trip.Tables!V68,IF(BCA!$I$8=3,VMT.VHT.ADT.Trip.Tables!V76,IF(BCA!$I$8=4,VMT.VHT.ADT.Trip.Tables!#REF!,IF(BCA!$I$8=5,VMT.VHT.ADT.Trip.Tables!#REF!)))))</f>
        <v>38297223.87647748</v>
      </c>
      <c r="Z63" s="420">
        <f>IF(BCA!$I$8=1,VMT.VHT.ADT.Trip.Tables!W60,IF(BCA!$I$8=2,VMT.VHT.ADT.Trip.Tables!W68,IF(BCA!$I$8=3,VMT.VHT.ADT.Trip.Tables!W76,IF(BCA!$I$8=4,VMT.VHT.ADT.Trip.Tables!#REF!,IF(BCA!$I$8=5,VMT.VHT.ADT.Trip.Tables!#REF!)))))</f>
        <v>38677318.214937732</v>
      </c>
    </row>
    <row r="64" spans="1:49" ht="15" x14ac:dyDescent="0.25">
      <c r="B64" s="282" t="str">
        <f>VMT.VHT.ADT.Trip.Tables!B69</f>
        <v>Truck</v>
      </c>
      <c r="E64" s="420"/>
      <c r="F64" s="420">
        <f>IF(BCA!$I$8=1,VMT.VHT.ADT.Trip.Tables!C61,IF(BCA!$I$8=2,VMT.VHT.ADT.Trip.Tables!C69,IF(BCA!$I$8=3,VMT.VHT.ADT.Trip.Tables!C77,IF(BCA!$I$8=4,VMT.VHT.ADT.Trip.Tables!#REF!,IF(BCA!$I$8=5,VMT.VHT.ADT.Trip.Tables!#REF!)))))</f>
        <v>10090460.784313725</v>
      </c>
      <c r="G64" s="420">
        <f>IF(BCA!$I$8=1,VMT.VHT.ADT.Trip.Tables!D61,IF(BCA!$I$8=2,VMT.VHT.ADT.Trip.Tables!D69,IF(BCA!$I$8=3,VMT.VHT.ADT.Trip.Tables!D77,IF(BCA!$I$8=4,VMT.VHT.ADT.Trip.Tables!#REF!,IF(BCA!$I$8=5,VMT.VHT.ADT.Trip.Tables!#REF!)))))</f>
        <v>10295220.350959849</v>
      </c>
      <c r="H64" s="420">
        <f>IF(BCA!$I$8=1,VMT.VHT.ADT.Trip.Tables!E61,IF(BCA!$I$8=2,VMT.VHT.ADT.Trip.Tables!E69,IF(BCA!$I$8=3,VMT.VHT.ADT.Trip.Tables!E77,IF(BCA!$I$8=4,VMT.VHT.ADT.Trip.Tables!#REF!,IF(BCA!$I$8=5,VMT.VHT.ADT.Trip.Tables!#REF!)))))</f>
        <v>10504134.978611542</v>
      </c>
      <c r="I64" s="420">
        <f>IF(BCA!$I$8=1,VMT.VHT.ADT.Trip.Tables!F61,IF(BCA!$I$8=2,VMT.VHT.ADT.Trip.Tables!F69,IF(BCA!$I$8=3,VMT.VHT.ADT.Trip.Tables!F77,IF(BCA!$I$8=4,VMT.VHT.ADT.Trip.Tables!#REF!,IF(BCA!$I$8=5,VMT.VHT.ADT.Trip.Tables!#REF!)))))</f>
        <v>10717288.983387666</v>
      </c>
      <c r="J64" s="420">
        <f>IF(BCA!$I$8=1,VMT.VHT.ADT.Trip.Tables!G61,IF(BCA!$I$8=2,VMT.VHT.ADT.Trip.Tables!G69,IF(BCA!$I$8=3,VMT.VHT.ADT.Trip.Tables!G77,IF(BCA!$I$8=4,VMT.VHT.ADT.Trip.Tables!#REF!,IF(BCA!$I$8=5,VMT.VHT.ADT.Trip.Tables!#REF!)))))</f>
        <v>10934768.392382665</v>
      </c>
      <c r="K64" s="420">
        <f>IF(BCA!$I$8=1,VMT.VHT.ADT.Trip.Tables!H61,IF(BCA!$I$8=2,VMT.VHT.ADT.Trip.Tables!H69,IF(BCA!$I$8=3,VMT.VHT.ADT.Trip.Tables!H77,IF(BCA!$I$8=4,VMT.VHT.ADT.Trip.Tables!#REF!,IF(BCA!$I$8=5,VMT.VHT.ADT.Trip.Tables!#REF!)))))</f>
        <v>11156660.978386337</v>
      </c>
      <c r="L64" s="420">
        <f>IF(BCA!$I$8=1,VMT.VHT.ADT.Trip.Tables!I61,IF(BCA!$I$8=2,VMT.VHT.ADT.Trip.Tables!I69,IF(BCA!$I$8=3,VMT.VHT.ADT.Trip.Tables!I77,IF(BCA!$I$8=4,VMT.VHT.ADT.Trip.Tables!#REF!,IF(BCA!$I$8=5,VMT.VHT.ADT.Trip.Tables!#REF!)))))</f>
        <v>11383056.295308176</v>
      </c>
      <c r="M64" s="420">
        <f>IF(BCA!$I$8=1,VMT.VHT.ADT.Trip.Tables!J61,IF(BCA!$I$8=2,VMT.VHT.ADT.Trip.Tables!J69,IF(BCA!$I$8=3,VMT.VHT.ADT.Trip.Tables!J77,IF(BCA!$I$8=4,VMT.VHT.ADT.Trip.Tables!#REF!,IF(BCA!$I$8=5,VMT.VHT.ADT.Trip.Tables!#REF!)))))</f>
        <v>11614045.71432055</v>
      </c>
      <c r="N64" s="420">
        <f>IF(BCA!$I$8=1,VMT.VHT.ADT.Trip.Tables!K61,IF(BCA!$I$8=2,VMT.VHT.ADT.Trip.Tables!K69,IF(BCA!$I$8=3,VMT.VHT.ADT.Trip.Tables!K77,IF(BCA!$I$8=4,VMT.VHT.ADT.Trip.Tables!#REF!,IF(BCA!$I$8=5,VMT.VHT.ADT.Trip.Tables!#REF!)))))</f>
        <v>11849722.460735288</v>
      </c>
      <c r="O64" s="420">
        <f>IF(BCA!$I$8=1,VMT.VHT.ADT.Trip.Tables!L61,IF(BCA!$I$8=2,VMT.VHT.ADT.Trip.Tables!L69,IF(BCA!$I$8=3,VMT.VHT.ADT.Trip.Tables!L77,IF(BCA!$I$8=4,VMT.VHT.ADT.Trip.Tables!#REF!,IF(BCA!$I$8=5,VMT.VHT.ADT.Trip.Tables!#REF!)))))</f>
        <v>12090181.651628623</v>
      </c>
      <c r="P64" s="420">
        <f>IF(BCA!$I$8=1,VMT.VHT.ADT.Trip.Tables!M61,IF(BCA!$I$8=2,VMT.VHT.ADT.Trip.Tables!M69,IF(BCA!$I$8=3,VMT.VHT.ADT.Trip.Tables!M77,IF(BCA!$I$8=4,VMT.VHT.ADT.Trip.Tables!#REF!,IF(BCA!$I$8=5,VMT.VHT.ADT.Trip.Tables!#REF!)))))</f>
        <v>12335520.334229605</v>
      </c>
      <c r="Q64" s="420">
        <f>IF(BCA!$I$8=1,VMT.VHT.ADT.Trip.Tables!N61,IF(BCA!$I$8=2,VMT.VHT.ADT.Trip.Tables!N69,IF(BCA!$I$8=3,VMT.VHT.ADT.Trip.Tables!N77,IF(BCA!$I$8=4,VMT.VHT.ADT.Trip.Tables!#REF!,IF(BCA!$I$8=5,VMT.VHT.ADT.Trip.Tables!#REF!)))))</f>
        <v>12585837.525087515</v>
      </c>
      <c r="R64" s="420">
        <f>IF(BCA!$I$8=1,VMT.VHT.ADT.Trip.Tables!O61,IF(BCA!$I$8=2,VMT.VHT.ADT.Trip.Tables!O69,IF(BCA!$I$8=3,VMT.VHT.ADT.Trip.Tables!O77,IF(BCA!$I$8=4,VMT.VHT.ADT.Trip.Tables!#REF!,IF(BCA!$I$8=5,VMT.VHT.ADT.Trip.Tables!#REF!)))))</f>
        <v>12841234.250034079</v>
      </c>
      <c r="S64" s="420">
        <f>IF(BCA!$I$8=1,VMT.VHT.ADT.Trip.Tables!P61,IF(BCA!$I$8=2,VMT.VHT.ADT.Trip.Tables!P69,IF(BCA!$I$8=3,VMT.VHT.ADT.Trip.Tables!P77,IF(BCA!$I$8=4,VMT.VHT.ADT.Trip.Tables!#REF!,IF(BCA!$I$8=5,VMT.VHT.ADT.Trip.Tables!#REF!)))))</f>
        <v>13101813.584956612</v>
      </c>
      <c r="T64" s="420">
        <f>IF(BCA!$I$8=1,VMT.VHT.ADT.Trip.Tables!Q61,IF(BCA!$I$8=2,VMT.VHT.ADT.Trip.Tables!Q69,IF(BCA!$I$8=3,VMT.VHT.ADT.Trip.Tables!Q77,IF(BCA!$I$8=4,VMT.VHT.ADT.Trip.Tables!#REF!,IF(BCA!$I$8=5,VMT.VHT.ADT.Trip.Tables!#REF!)))))</f>
        <v>13367680.69739854</v>
      </c>
      <c r="U64" s="420">
        <f>IF(BCA!$I$8=1,VMT.VHT.ADT.Trip.Tables!R61,IF(BCA!$I$8=2,VMT.VHT.ADT.Trip.Tables!R69,IF(BCA!$I$8=3,VMT.VHT.ADT.Trip.Tables!R77,IF(BCA!$I$8=4,VMT.VHT.ADT.Trip.Tables!#REF!,IF(BCA!$I$8=5,VMT.VHT.ADT.Trip.Tables!#REF!)))))</f>
        <v>13638942.889004121</v>
      </c>
      <c r="V64" s="420">
        <f>IF(BCA!$I$8=1,VMT.VHT.ADT.Trip.Tables!S61,IF(BCA!$I$8=2,VMT.VHT.ADT.Trip.Tables!S69,IF(BCA!$I$8=3,VMT.VHT.ADT.Trip.Tables!S77,IF(BCA!$I$8=4,VMT.VHT.ADT.Trip.Tables!#REF!,IF(BCA!$I$8=5,VMT.VHT.ADT.Trip.Tables!#REF!)))))</f>
        <v>13915709.638824424</v>
      </c>
      <c r="W64" s="420">
        <f>IF(BCA!$I$8=1,VMT.VHT.ADT.Trip.Tables!T61,IF(BCA!$I$8=2,VMT.VHT.ADT.Trip.Tables!T69,IF(BCA!$I$8=3,VMT.VHT.ADT.Trip.Tables!T77,IF(BCA!$I$8=4,VMT.VHT.ADT.Trip.Tables!#REF!,IF(BCA!$I$8=5,VMT.VHT.ADT.Trip.Tables!#REF!)))))</f>
        <v>14198092.647502139</v>
      </c>
      <c r="X64" s="420">
        <f>IF(BCA!$I$8=1,VMT.VHT.ADT.Trip.Tables!U61,IF(BCA!$I$8=2,VMT.VHT.ADT.Trip.Tables!U69,IF(BCA!$I$8=3,VMT.VHT.ADT.Trip.Tables!U77,IF(BCA!$I$8=4,VMT.VHT.ADT.Trip.Tables!#REF!,IF(BCA!$I$8=5,VMT.VHT.ADT.Trip.Tables!#REF!)))))</f>
        <v>14486205.882352967</v>
      </c>
      <c r="Y64" s="420">
        <f>IF(BCA!$I$8=1,VMT.VHT.ADT.Trip.Tables!V61,IF(BCA!$I$8=2,VMT.VHT.ADT.Trip.Tables!V69,IF(BCA!$I$8=3,VMT.VHT.ADT.Trip.Tables!V77,IF(BCA!$I$8=4,VMT.VHT.ADT.Trip.Tables!#REF!,IF(BCA!$I$8=5,VMT.VHT.ADT.Trip.Tables!#REF!)))))</f>
        <v>14780165.623361848</v>
      </c>
      <c r="Z64" s="420">
        <f>IF(BCA!$I$8=1,VMT.VHT.ADT.Trip.Tables!W61,IF(BCA!$I$8=2,VMT.VHT.ADT.Trip.Tables!W69,IF(BCA!$I$8=3,VMT.VHT.ADT.Trip.Tables!W77,IF(BCA!$I$8=4,VMT.VHT.ADT.Trip.Tables!#REF!,IF(BCA!$I$8=5,VMT.VHT.ADT.Trip.Tables!#REF!)))))</f>
        <v>15080090.510112535</v>
      </c>
    </row>
    <row r="65" spans="2:27" ht="15" x14ac:dyDescent="0.25">
      <c r="F65" s="420">
        <f>SUM(F61:F64)</f>
        <v>190637046.48264629</v>
      </c>
      <c r="G65" s="420">
        <f t="shared" ref="G65" si="40">SUM(G61:G64)</f>
        <v>192244013.4511908</v>
      </c>
      <c r="H65" s="420">
        <f t="shared" ref="H65" si="41">SUM(H61:H64)</f>
        <v>193868228.69442099</v>
      </c>
      <c r="I65" s="420">
        <f t="shared" ref="I65" si="42">SUM(I61:I64)</f>
        <v>195509905.31482008</v>
      </c>
      <c r="J65" s="420">
        <f t="shared" ref="J65" si="43">SUM(J61:J64)</f>
        <v>197169259.40870437</v>
      </c>
      <c r="K65" s="420">
        <f t="shared" ref="K65" si="44">SUM(K61:K64)</f>
        <v>198846510.11376011</v>
      </c>
      <c r="L65" s="420">
        <f t="shared" ref="L65" si="45">SUM(L61:L64)</f>
        <v>200541879.65741196</v>
      </c>
      <c r="M65" s="420">
        <f t="shared" ref="M65" si="46">SUM(M61:M64)</f>
        <v>202255593.40604049</v>
      </c>
      <c r="N65" s="420">
        <f t="shared" ref="N65" si="47">SUM(N61:N64)</f>
        <v>203987879.91506365</v>
      </c>
      <c r="O65" s="420">
        <f t="shared" ref="O65" si="48">SUM(O61:O64)</f>
        <v>205738970.97989842</v>
      </c>
      <c r="P65" s="420">
        <f t="shared" ref="P65" si="49">SUM(P61:P64)</f>
        <v>207509101.68781942</v>
      </c>
      <c r="Q65" s="420">
        <f t="shared" ref="Q65" si="50">SUM(Q61:Q64)</f>
        <v>209298510.47073111</v>
      </c>
      <c r="R65" s="420">
        <f t="shared" ref="R65" si="51">SUM(R61:R64)</f>
        <v>211107439.15887088</v>
      </c>
      <c r="S65" s="420">
        <f t="shared" ref="S65" si="52">SUM(S61:S64)</f>
        <v>212936133.03546044</v>
      </c>
      <c r="T65" s="420">
        <f t="shared" ref="T65" si="53">SUM(T61:T64)</f>
        <v>214784840.89232326</v>
      </c>
      <c r="U65" s="420">
        <f t="shared" ref="U65" si="54">SUM(U61:U64)</f>
        <v>216653815.08648652</v>
      </c>
      <c r="V65" s="420">
        <f t="shared" ref="V65" si="55">SUM(V61:V64)</f>
        <v>218543311.59778547</v>
      </c>
      <c r="W65" s="420">
        <f t="shared" ref="W65:Z65" si="56">SUM(W61:W64)</f>
        <v>220453590.08749014</v>
      </c>
      <c r="X65" s="420">
        <f t="shared" si="56"/>
        <v>222384913.95797262</v>
      </c>
      <c r="Y65" s="420">
        <f t="shared" si="56"/>
        <v>224337550.41343501</v>
      </c>
      <c r="Z65" s="420">
        <f t="shared" si="56"/>
        <v>226311770.52171814</v>
      </c>
    </row>
    <row r="67" spans="2:27" ht="21.75" thickBot="1" x14ac:dyDescent="0.3">
      <c r="B67" s="1011" t="s">
        <v>583</v>
      </c>
      <c r="C67" s="1919" t="s">
        <v>696</v>
      </c>
      <c r="D67" s="1919"/>
      <c r="E67" s="1919"/>
      <c r="F67" s="1919"/>
      <c r="G67" s="1919"/>
      <c r="H67" s="1919"/>
      <c r="I67" s="1919"/>
      <c r="J67" s="1919"/>
      <c r="K67" s="1919"/>
      <c r="L67" s="1919"/>
      <c r="M67" s="1919"/>
      <c r="N67" s="1919"/>
      <c r="O67" s="1919"/>
      <c r="P67" s="1919"/>
      <c r="Q67" s="1919"/>
      <c r="R67" s="1919"/>
      <c r="S67" s="1919"/>
      <c r="T67" s="1919"/>
      <c r="U67" s="1919"/>
      <c r="V67" s="1919"/>
      <c r="W67" s="1919"/>
      <c r="X67" s="1427"/>
      <c r="Y67" s="1427"/>
      <c r="Z67" s="1427"/>
    </row>
    <row r="68" spans="2:27" ht="15.75" thickBot="1" x14ac:dyDescent="0.3">
      <c r="C68" s="417">
        <v>2020</v>
      </c>
      <c r="D68" s="417">
        <f>C68+1</f>
        <v>2021</v>
      </c>
      <c r="E68" s="417">
        <f t="shared" ref="E68:W68" si="57">D68+1</f>
        <v>2022</v>
      </c>
      <c r="F68" s="417">
        <f t="shared" si="57"/>
        <v>2023</v>
      </c>
      <c r="G68" s="417">
        <f t="shared" si="57"/>
        <v>2024</v>
      </c>
      <c r="H68" s="417">
        <f t="shared" si="57"/>
        <v>2025</v>
      </c>
      <c r="I68" s="417">
        <f t="shared" si="57"/>
        <v>2026</v>
      </c>
      <c r="J68" s="417">
        <f t="shared" si="57"/>
        <v>2027</v>
      </c>
      <c r="K68" s="417">
        <f t="shared" si="57"/>
        <v>2028</v>
      </c>
      <c r="L68" s="417">
        <f t="shared" si="57"/>
        <v>2029</v>
      </c>
      <c r="M68" s="417">
        <f t="shared" si="57"/>
        <v>2030</v>
      </c>
      <c r="N68" s="417">
        <f t="shared" si="57"/>
        <v>2031</v>
      </c>
      <c r="O68" s="417">
        <f t="shared" si="57"/>
        <v>2032</v>
      </c>
      <c r="P68" s="417">
        <f t="shared" si="57"/>
        <v>2033</v>
      </c>
      <c r="Q68" s="417">
        <f t="shared" si="57"/>
        <v>2034</v>
      </c>
      <c r="R68" s="417">
        <f t="shared" si="57"/>
        <v>2035</v>
      </c>
      <c r="S68" s="417">
        <f t="shared" si="57"/>
        <v>2036</v>
      </c>
      <c r="T68" s="417">
        <f t="shared" si="57"/>
        <v>2037</v>
      </c>
      <c r="U68" s="417">
        <f t="shared" si="57"/>
        <v>2038</v>
      </c>
      <c r="V68" s="417">
        <f t="shared" si="57"/>
        <v>2039</v>
      </c>
      <c r="W68" s="417">
        <f t="shared" si="57"/>
        <v>2040</v>
      </c>
      <c r="X68" s="417">
        <f t="shared" ref="X68:Z68" si="58">W68+1</f>
        <v>2041</v>
      </c>
      <c r="Y68" s="417">
        <f t="shared" si="58"/>
        <v>2042</v>
      </c>
      <c r="Z68" s="417">
        <f t="shared" si="58"/>
        <v>2043</v>
      </c>
    </row>
    <row r="69" spans="2:27" ht="15" x14ac:dyDescent="0.25">
      <c r="B69" s="282" t="str">
        <f>VMT.VHT.ADT.Trip.Tables!B74</f>
        <v>Auto.Leisure</v>
      </c>
      <c r="F69" s="871">
        <f t="shared" ref="F69:W69" si="59">F4/F20</f>
        <v>3.7522954610308141</v>
      </c>
      <c r="G69" s="871">
        <f t="shared" si="59"/>
        <v>3.750942589967007</v>
      </c>
      <c r="H69" s="871">
        <f t="shared" si="59"/>
        <v>3.7495902066739881</v>
      </c>
      <c r="I69" s="871">
        <f t="shared" si="59"/>
        <v>3.7482383109758959</v>
      </c>
      <c r="J69" s="871">
        <f t="shared" si="59"/>
        <v>3.7468869026969274</v>
      </c>
      <c r="K69" s="871">
        <f t="shared" si="59"/>
        <v>3.7455359816613476</v>
      </c>
      <c r="L69" s="871">
        <f t="shared" si="59"/>
        <v>3.7441855476934838</v>
      </c>
      <c r="M69" s="871">
        <f t="shared" si="59"/>
        <v>3.7428356006177266</v>
      </c>
      <c r="N69" s="871">
        <f t="shared" si="59"/>
        <v>3.741486140258528</v>
      </c>
      <c r="O69" s="871">
        <f t="shared" si="59"/>
        <v>3.7401371664404062</v>
      </c>
      <c r="P69" s="871">
        <f t="shared" si="59"/>
        <v>3.7387886789879388</v>
      </c>
      <c r="Q69" s="871">
        <f t="shared" si="59"/>
        <v>3.7374406777257723</v>
      </c>
      <c r="R69" s="871">
        <f t="shared" si="59"/>
        <v>3.7360931624786113</v>
      </c>
      <c r="S69" s="871">
        <f t="shared" si="59"/>
        <v>3.7347461330712273</v>
      </c>
      <c r="T69" s="871">
        <f t="shared" si="59"/>
        <v>3.7333995893284522</v>
      </c>
      <c r="U69" s="871">
        <f t="shared" si="59"/>
        <v>3.7320535310751817</v>
      </c>
      <c r="V69" s="871">
        <f t="shared" si="59"/>
        <v>3.730707958136374</v>
      </c>
      <c r="W69" s="871">
        <f t="shared" si="59"/>
        <v>3.7293628703370536</v>
      </c>
      <c r="X69" s="871">
        <f t="shared" ref="X69:Z69" si="60">X4/X20</f>
        <v>3.7280182675023057</v>
      </c>
      <c r="Y69" s="871">
        <f t="shared" si="60"/>
        <v>3.7266741494572777</v>
      </c>
      <c r="Z69" s="871">
        <f t="shared" si="60"/>
        <v>3.7253305160271823</v>
      </c>
      <c r="AA69" s="871">
        <f>AVERAGE(F69:Z69)</f>
        <v>3.7387975924830235</v>
      </c>
    </row>
    <row r="70" spans="2:27" ht="15" x14ac:dyDescent="0.25">
      <c r="B70" s="282" t="str">
        <f>VMT.VHT.ADT.Trip.Tables!B75</f>
        <v>Auto.Commute</v>
      </c>
      <c r="F70" s="871">
        <f t="shared" ref="F70:W70" si="61">F5/F21</f>
        <v>3.7522954610308141</v>
      </c>
      <c r="G70" s="871">
        <f t="shared" si="61"/>
        <v>3.7509425899670066</v>
      </c>
      <c r="H70" s="871">
        <f t="shared" si="61"/>
        <v>3.7495902066739886</v>
      </c>
      <c r="I70" s="871">
        <f t="shared" si="61"/>
        <v>3.7482383109758945</v>
      </c>
      <c r="J70" s="871">
        <f t="shared" si="61"/>
        <v>3.7468869026969265</v>
      </c>
      <c r="K70" s="871">
        <f t="shared" si="61"/>
        <v>3.7455359816613472</v>
      </c>
      <c r="L70" s="871">
        <f t="shared" si="61"/>
        <v>3.7441855476934829</v>
      </c>
      <c r="M70" s="871">
        <f t="shared" si="61"/>
        <v>3.742835600617723</v>
      </c>
      <c r="N70" s="871">
        <f t="shared" si="61"/>
        <v>3.7414861402585249</v>
      </c>
      <c r="O70" s="871">
        <f t="shared" si="61"/>
        <v>3.7401371664404031</v>
      </c>
      <c r="P70" s="871">
        <f t="shared" si="61"/>
        <v>3.738788678987937</v>
      </c>
      <c r="Q70" s="871">
        <f t="shared" si="61"/>
        <v>3.7374406777257678</v>
      </c>
      <c r="R70" s="871">
        <f t="shared" si="61"/>
        <v>3.7360931624786082</v>
      </c>
      <c r="S70" s="871">
        <f t="shared" si="61"/>
        <v>3.7347461330712237</v>
      </c>
      <c r="T70" s="871">
        <f t="shared" si="61"/>
        <v>3.7333995893284482</v>
      </c>
      <c r="U70" s="871">
        <f t="shared" si="61"/>
        <v>3.7320535310751755</v>
      </c>
      <c r="V70" s="871">
        <f t="shared" si="61"/>
        <v>3.7307079581363687</v>
      </c>
      <c r="W70" s="871">
        <f t="shared" si="61"/>
        <v>3.7293628703370487</v>
      </c>
      <c r="X70" s="871">
        <f t="shared" ref="X70:Z70" si="62">X5/X21</f>
        <v>3.7280182675022995</v>
      </c>
      <c r="Y70" s="871">
        <f t="shared" si="62"/>
        <v>3.7266741494572715</v>
      </c>
      <c r="Z70" s="871">
        <f t="shared" si="62"/>
        <v>3.7253305160271761</v>
      </c>
      <c r="AA70" s="871">
        <f>AVERAGE(F70:Z70)</f>
        <v>3.7387975924830203</v>
      </c>
    </row>
    <row r="71" spans="2:27" ht="15" x14ac:dyDescent="0.25">
      <c r="B71" s="282" t="str">
        <f>VMT.VHT.ADT.Trip.Tables!B76</f>
        <v>Auto.Business</v>
      </c>
      <c r="F71" s="871">
        <f t="shared" ref="F71:W71" si="63">F6/F22</f>
        <v>3.7522954610308137</v>
      </c>
      <c r="G71" s="871">
        <f t="shared" si="63"/>
        <v>3.7509425899670075</v>
      </c>
      <c r="H71" s="871">
        <f t="shared" si="63"/>
        <v>3.7495902066739895</v>
      </c>
      <c r="I71" s="871">
        <f t="shared" si="63"/>
        <v>3.7482383109758968</v>
      </c>
      <c r="J71" s="871">
        <f t="shared" si="63"/>
        <v>3.7468869026969296</v>
      </c>
      <c r="K71" s="871">
        <f t="shared" si="63"/>
        <v>3.7455359816613507</v>
      </c>
      <c r="L71" s="871">
        <f t="shared" si="63"/>
        <v>3.7441855476934873</v>
      </c>
      <c r="M71" s="871">
        <f t="shared" si="63"/>
        <v>3.7428356006177301</v>
      </c>
      <c r="N71" s="871">
        <f t="shared" si="63"/>
        <v>3.7414861402585329</v>
      </c>
      <c r="O71" s="871">
        <f t="shared" si="63"/>
        <v>3.7401371664404102</v>
      </c>
      <c r="P71" s="871">
        <f t="shared" si="63"/>
        <v>3.738788678987945</v>
      </c>
      <c r="Q71" s="871">
        <f t="shared" si="63"/>
        <v>3.7374406777257794</v>
      </c>
      <c r="R71" s="871">
        <f t="shared" si="63"/>
        <v>3.7360931624786193</v>
      </c>
      <c r="S71" s="871">
        <f t="shared" si="63"/>
        <v>3.7347461330712362</v>
      </c>
      <c r="T71" s="871">
        <f t="shared" si="63"/>
        <v>3.7333995893284606</v>
      </c>
      <c r="U71" s="871">
        <f t="shared" si="63"/>
        <v>3.7320535310751906</v>
      </c>
      <c r="V71" s="871">
        <f t="shared" si="63"/>
        <v>3.7307079581363842</v>
      </c>
      <c r="W71" s="871">
        <f t="shared" si="63"/>
        <v>3.7293628703370652</v>
      </c>
      <c r="X71" s="871">
        <f t="shared" ref="X71:Z71" si="64">X6/X22</f>
        <v>3.7280182675023168</v>
      </c>
      <c r="Y71" s="871">
        <f t="shared" si="64"/>
        <v>3.7266741494572897</v>
      </c>
      <c r="Z71" s="871">
        <f t="shared" si="64"/>
        <v>3.7253305160271957</v>
      </c>
    </row>
    <row r="72" spans="2:27" ht="15" x14ac:dyDescent="0.25">
      <c r="B72" s="282" t="str">
        <f>VMT.VHT.ADT.Trip.Tables!B77</f>
        <v>Truck</v>
      </c>
      <c r="F72" s="871">
        <f t="shared" ref="F72:W72" si="65">F7/F23</f>
        <v>4.1734583513035481</v>
      </c>
      <c r="G72" s="871">
        <f t="shared" si="65"/>
        <v>4.1763463847652593</v>
      </c>
      <c r="H72" s="871">
        <f t="shared" si="65"/>
        <v>4.1792364167463214</v>
      </c>
      <c r="I72" s="871">
        <f t="shared" si="65"/>
        <v>4.1821284486297099</v>
      </c>
      <c r="J72" s="871">
        <f t="shared" si="65"/>
        <v>4.1850224817993595</v>
      </c>
      <c r="K72" s="871">
        <f t="shared" si="65"/>
        <v>4.1879185176401554</v>
      </c>
      <c r="L72" s="871">
        <f t="shared" si="65"/>
        <v>4.1908165575379508</v>
      </c>
      <c r="M72" s="871">
        <f t="shared" si="65"/>
        <v>4.1937166028795518</v>
      </c>
      <c r="N72" s="871">
        <f t="shared" si="65"/>
        <v>4.1966186550527249</v>
      </c>
      <c r="O72" s="871">
        <f t="shared" si="65"/>
        <v>4.1995227154462009</v>
      </c>
      <c r="P72" s="871">
        <f t="shared" si="65"/>
        <v>4.2024287854496638</v>
      </c>
      <c r="Q72" s="871">
        <f t="shared" si="65"/>
        <v>4.2053368664537656</v>
      </c>
      <c r="R72" s="871">
        <f t="shared" si="65"/>
        <v>4.2082469598501184</v>
      </c>
      <c r="S72" s="871">
        <f t="shared" si="65"/>
        <v>4.2111590670312999</v>
      </c>
      <c r="T72" s="871">
        <f t="shared" si="65"/>
        <v>4.2140731893908479</v>
      </c>
      <c r="U72" s="871">
        <f t="shared" si="65"/>
        <v>4.2169893283232662</v>
      </c>
      <c r="V72" s="871">
        <f t="shared" si="65"/>
        <v>4.2199074852240219</v>
      </c>
      <c r="W72" s="871">
        <f t="shared" si="65"/>
        <v>4.2228276614895499</v>
      </c>
      <c r="X72" s="871">
        <f t="shared" ref="X72:Z72" si="66">X7/X23</f>
        <v>4.2257498585172542</v>
      </c>
      <c r="Y72" s="871">
        <f t="shared" si="66"/>
        <v>4.2286740777054987</v>
      </c>
      <c r="Z72" s="871">
        <f t="shared" si="66"/>
        <v>4.2316003204536186</v>
      </c>
    </row>
    <row r="73" spans="2:27" ht="15" x14ac:dyDescent="0.25">
      <c r="B73" s="282" t="s">
        <v>5</v>
      </c>
      <c r="F73" s="871">
        <f t="shared" ref="F73:W73" si="67">F8/F24</f>
        <v>3.7796892675329747</v>
      </c>
      <c r="G73" s="871">
        <f t="shared" si="67"/>
        <v>3.7785945995504666</v>
      </c>
      <c r="H73" s="871">
        <f t="shared" si="67"/>
        <v>3.7774998704808898</v>
      </c>
      <c r="I73" s="871">
        <f t="shared" si="67"/>
        <v>3.7764050728558587</v>
      </c>
      <c r="J73" s="871">
        <f t="shared" si="67"/>
        <v>3.7753101992715594</v>
      </c>
      <c r="K73" s="871">
        <f t="shared" si="67"/>
        <v>3.7742152423890785</v>
      </c>
      <c r="L73" s="871">
        <f t="shared" si="67"/>
        <v>3.7731201949347253</v>
      </c>
      <c r="M73" s="871">
        <f t="shared" si="67"/>
        <v>3.7720250497003316</v>
      </c>
      <c r="N73" s="871">
        <f t="shared" si="67"/>
        <v>3.7709297995435582</v>
      </c>
      <c r="O73" s="871">
        <f t="shared" si="67"/>
        <v>3.7698344373881674</v>
      </c>
      <c r="P73" s="871">
        <f t="shared" si="67"/>
        <v>3.7687389562242992</v>
      </c>
      <c r="Q73" s="871">
        <f t="shared" si="67"/>
        <v>3.76764334910873</v>
      </c>
      <c r="R73" s="871">
        <f t="shared" si="67"/>
        <v>3.7665476091651269</v>
      </c>
      <c r="S73" s="871">
        <f t="shared" si="67"/>
        <v>3.7654517295842691</v>
      </c>
      <c r="T73" s="871">
        <f t="shared" si="67"/>
        <v>3.7643557036242905</v>
      </c>
      <c r="U73" s="871">
        <f t="shared" si="67"/>
        <v>3.7632595246108789</v>
      </c>
      <c r="V73" s="871">
        <f t="shared" si="67"/>
        <v>3.7621631859374909</v>
      </c>
      <c r="W73" s="871">
        <f t="shared" si="67"/>
        <v>3.761066681065532</v>
      </c>
      <c r="X73" s="871">
        <f t="shared" ref="X73:Z73" si="68">X8/X24</f>
        <v>3.7599700035245402</v>
      </c>
      <c r="Y73" s="871">
        <f t="shared" si="68"/>
        <v>3.7588731469123569</v>
      </c>
      <c r="Z73" s="871">
        <f t="shared" si="68"/>
        <v>3.7577761048952816</v>
      </c>
    </row>
    <row r="74" spans="2:27" ht="15" x14ac:dyDescent="0.25">
      <c r="F74" s="711"/>
      <c r="G74" s="711"/>
      <c r="H74" s="711"/>
      <c r="I74" s="711"/>
      <c r="J74" s="711"/>
      <c r="K74" s="711"/>
      <c r="L74" s="711"/>
      <c r="M74" s="711"/>
      <c r="N74" s="711"/>
      <c r="O74" s="711"/>
      <c r="P74" s="711"/>
      <c r="Q74" s="711"/>
      <c r="R74" s="711"/>
      <c r="S74" s="711"/>
      <c r="T74" s="711"/>
      <c r="U74" s="711"/>
      <c r="V74" s="711"/>
      <c r="W74" s="711"/>
      <c r="X74" s="711"/>
      <c r="Y74" s="711"/>
      <c r="Z74" s="711"/>
    </row>
    <row r="75" spans="2:27" ht="21.75" thickBot="1" x14ac:dyDescent="0.3">
      <c r="B75" s="1011" t="str">
        <f>IF(BCA!I8=1,BCA!H5,IF(BCA!I8=2,BCA!H6,IF(BCA!I8=3,BCA!H7,IF(BCA!I8=4,BCA!#REF!,IF(BCA!I8=5,"error")))))</f>
        <v>6-Lane CD SDI</v>
      </c>
      <c r="C75" s="1919" t="s">
        <v>697</v>
      </c>
      <c r="D75" s="1919"/>
      <c r="E75" s="1919"/>
      <c r="F75" s="1919"/>
      <c r="G75" s="1919"/>
      <c r="H75" s="1919"/>
      <c r="I75" s="1919"/>
      <c r="J75" s="1919"/>
      <c r="K75" s="1919"/>
      <c r="L75" s="1919"/>
      <c r="M75" s="1919"/>
      <c r="N75" s="1919"/>
      <c r="O75" s="1919"/>
      <c r="P75" s="1919"/>
      <c r="Q75" s="1919"/>
      <c r="R75" s="1919"/>
      <c r="S75" s="1919"/>
      <c r="T75" s="1919"/>
      <c r="U75" s="1919"/>
      <c r="V75" s="1919"/>
      <c r="W75" s="1919"/>
      <c r="X75" s="1427"/>
      <c r="Y75" s="1427"/>
      <c r="Z75" s="1427"/>
    </row>
    <row r="76" spans="2:27" ht="15.75" thickBot="1" x14ac:dyDescent="0.3">
      <c r="C76" s="417">
        <v>2020</v>
      </c>
      <c r="D76" s="417">
        <f>C76+1</f>
        <v>2021</v>
      </c>
      <c r="E76" s="417">
        <f t="shared" ref="E76:W76" si="69">D76+1</f>
        <v>2022</v>
      </c>
      <c r="F76" s="417">
        <f t="shared" si="69"/>
        <v>2023</v>
      </c>
      <c r="G76" s="417">
        <f t="shared" si="69"/>
        <v>2024</v>
      </c>
      <c r="H76" s="417">
        <f t="shared" si="69"/>
        <v>2025</v>
      </c>
      <c r="I76" s="417">
        <f t="shared" si="69"/>
        <v>2026</v>
      </c>
      <c r="J76" s="417">
        <f t="shared" si="69"/>
        <v>2027</v>
      </c>
      <c r="K76" s="417">
        <f t="shared" si="69"/>
        <v>2028</v>
      </c>
      <c r="L76" s="417">
        <f t="shared" si="69"/>
        <v>2029</v>
      </c>
      <c r="M76" s="417">
        <f t="shared" si="69"/>
        <v>2030</v>
      </c>
      <c r="N76" s="417">
        <f t="shared" si="69"/>
        <v>2031</v>
      </c>
      <c r="O76" s="417">
        <f t="shared" si="69"/>
        <v>2032</v>
      </c>
      <c r="P76" s="417">
        <f t="shared" si="69"/>
        <v>2033</v>
      </c>
      <c r="Q76" s="417">
        <f t="shared" si="69"/>
        <v>2034</v>
      </c>
      <c r="R76" s="417">
        <f t="shared" si="69"/>
        <v>2035</v>
      </c>
      <c r="S76" s="417">
        <f t="shared" si="69"/>
        <v>2036</v>
      </c>
      <c r="T76" s="417">
        <f t="shared" si="69"/>
        <v>2037</v>
      </c>
      <c r="U76" s="417">
        <f t="shared" si="69"/>
        <v>2038</v>
      </c>
      <c r="V76" s="417">
        <f t="shared" si="69"/>
        <v>2039</v>
      </c>
      <c r="W76" s="417">
        <f t="shared" si="69"/>
        <v>2040</v>
      </c>
      <c r="X76" s="417">
        <f t="shared" ref="X76:Z76" si="70">W76+1</f>
        <v>2041</v>
      </c>
      <c r="Y76" s="417">
        <f t="shared" si="70"/>
        <v>2042</v>
      </c>
      <c r="Z76" s="417">
        <f t="shared" si="70"/>
        <v>2043</v>
      </c>
    </row>
    <row r="77" spans="2:27" ht="15" x14ac:dyDescent="0.25">
      <c r="B77" s="282" t="str">
        <f>VMT.VHT.ADT.Trip.Tables!B58</f>
        <v>Auto.Leisure</v>
      </c>
      <c r="F77" s="871">
        <f t="shared" ref="F77:W77" si="71">F37/F61</f>
        <v>3.9343004062765923</v>
      </c>
      <c r="G77" s="871">
        <f t="shared" si="71"/>
        <v>3.9359944628791084</v>
      </c>
      <c r="H77" s="871">
        <f t="shared" si="71"/>
        <v>3.9376892489195101</v>
      </c>
      <c r="I77" s="871">
        <f t="shared" si="71"/>
        <v>3.9393847647118854</v>
      </c>
      <c r="J77" s="871">
        <f t="shared" si="71"/>
        <v>3.9410810105704535</v>
      </c>
      <c r="K77" s="871">
        <f t="shared" si="71"/>
        <v>3.9427779868095731</v>
      </c>
      <c r="L77" s="871">
        <f t="shared" si="71"/>
        <v>3.9444756937437333</v>
      </c>
      <c r="M77" s="871">
        <f t="shared" si="71"/>
        <v>3.946174131687564</v>
      </c>
      <c r="N77" s="871">
        <f t="shared" si="71"/>
        <v>3.9478733009558278</v>
      </c>
      <c r="O77" s="871">
        <f t="shared" si="71"/>
        <v>3.9495732018634229</v>
      </c>
      <c r="P77" s="871">
        <f t="shared" si="71"/>
        <v>3.9512738347253826</v>
      </c>
      <c r="Q77" s="871">
        <f t="shared" si="71"/>
        <v>3.9529751998568772</v>
      </c>
      <c r="R77" s="871">
        <f t="shared" si="71"/>
        <v>3.9546772975732125</v>
      </c>
      <c r="S77" s="871">
        <f t="shared" si="71"/>
        <v>3.9563801281898292</v>
      </c>
      <c r="T77" s="871">
        <f t="shared" si="71"/>
        <v>3.9580836920223033</v>
      </c>
      <c r="U77" s="871">
        <f t="shared" si="71"/>
        <v>3.9597879893863479</v>
      </c>
      <c r="V77" s="871">
        <f t="shared" si="71"/>
        <v>3.9614930205978145</v>
      </c>
      <c r="W77" s="871">
        <f t="shared" si="71"/>
        <v>3.9631987859726849</v>
      </c>
      <c r="X77" s="871">
        <f t="shared" ref="X77:Z77" si="72">X37/X61</f>
        <v>3.9649052858270801</v>
      </c>
      <c r="Y77" s="871">
        <f t="shared" si="72"/>
        <v>3.9666125204772582</v>
      </c>
      <c r="Z77" s="871">
        <f t="shared" si="72"/>
        <v>3.9683204902396128</v>
      </c>
      <c r="AA77" s="871">
        <f>AVERAGE(F77:Z77)</f>
        <v>3.9512872596802899</v>
      </c>
    </row>
    <row r="78" spans="2:27" ht="15" x14ac:dyDescent="0.25">
      <c r="B78" s="282" t="str">
        <f>VMT.VHT.ADT.Trip.Tables!B59</f>
        <v>Auto.Commute</v>
      </c>
      <c r="F78" s="871">
        <f t="shared" ref="F78:W78" si="73">F38/F62</f>
        <v>3.9343004062765923</v>
      </c>
      <c r="G78" s="871">
        <f t="shared" si="73"/>
        <v>3.9359944628791088</v>
      </c>
      <c r="H78" s="871">
        <f t="shared" si="73"/>
        <v>3.9376892489195128</v>
      </c>
      <c r="I78" s="871">
        <f t="shared" si="73"/>
        <v>3.939384764711888</v>
      </c>
      <c r="J78" s="871">
        <f t="shared" si="73"/>
        <v>3.9410810105704583</v>
      </c>
      <c r="K78" s="871">
        <f t="shared" si="73"/>
        <v>3.9427779868095776</v>
      </c>
      <c r="L78" s="871">
        <f t="shared" si="73"/>
        <v>3.94447569374374</v>
      </c>
      <c r="M78" s="871">
        <f t="shared" si="73"/>
        <v>3.9461741316875725</v>
      </c>
      <c r="N78" s="871">
        <f t="shared" si="73"/>
        <v>3.9478733009558371</v>
      </c>
      <c r="O78" s="871">
        <f t="shared" si="73"/>
        <v>3.9495732018634322</v>
      </c>
      <c r="P78" s="871">
        <f t="shared" si="73"/>
        <v>3.9512738347253942</v>
      </c>
      <c r="Q78" s="871">
        <f t="shared" si="73"/>
        <v>3.9529751998568896</v>
      </c>
      <c r="R78" s="871">
        <f t="shared" si="73"/>
        <v>3.9546772975732263</v>
      </c>
      <c r="S78" s="871">
        <f t="shared" si="73"/>
        <v>3.956380128189843</v>
      </c>
      <c r="T78" s="871">
        <f t="shared" si="73"/>
        <v>3.9580836920223188</v>
      </c>
      <c r="U78" s="871">
        <f t="shared" si="73"/>
        <v>3.9597879893863661</v>
      </c>
      <c r="V78" s="871">
        <f t="shared" si="73"/>
        <v>3.9614930205978314</v>
      </c>
      <c r="W78" s="871">
        <f t="shared" si="73"/>
        <v>3.9631987859727031</v>
      </c>
      <c r="X78" s="871">
        <f t="shared" ref="X78:Z78" si="74">X38/X62</f>
        <v>3.9649052858271006</v>
      </c>
      <c r="Y78" s="871">
        <f t="shared" si="74"/>
        <v>3.9666125204772791</v>
      </c>
      <c r="Z78" s="871">
        <f t="shared" si="74"/>
        <v>3.9683204902396345</v>
      </c>
      <c r="AA78" s="871">
        <f>AVERAGE(F78:Z78)</f>
        <v>3.9512872596803006</v>
      </c>
    </row>
    <row r="79" spans="2:27" ht="15" x14ac:dyDescent="0.25">
      <c r="B79" s="282" t="str">
        <f>VMT.VHT.ADT.Trip.Tables!B60</f>
        <v>Auto.Business</v>
      </c>
      <c r="F79" s="871">
        <f t="shared" ref="F79:W79" si="75">F39/F63</f>
        <v>3.9343004062765927</v>
      </c>
      <c r="G79" s="871">
        <f t="shared" si="75"/>
        <v>3.9359944628791097</v>
      </c>
      <c r="H79" s="871">
        <f t="shared" si="75"/>
        <v>3.9376892489195119</v>
      </c>
      <c r="I79" s="871">
        <f t="shared" si="75"/>
        <v>3.9393847647118876</v>
      </c>
      <c r="J79" s="871">
        <f t="shared" si="75"/>
        <v>3.9410810105704552</v>
      </c>
      <c r="K79" s="871">
        <f t="shared" si="75"/>
        <v>3.9427779868095754</v>
      </c>
      <c r="L79" s="871">
        <f t="shared" si="75"/>
        <v>3.9444756937437369</v>
      </c>
      <c r="M79" s="871">
        <f t="shared" si="75"/>
        <v>3.946174131687568</v>
      </c>
      <c r="N79" s="871">
        <f t="shared" si="75"/>
        <v>3.9478733009558322</v>
      </c>
      <c r="O79" s="871">
        <f t="shared" si="75"/>
        <v>3.9495732018634291</v>
      </c>
      <c r="P79" s="871">
        <f t="shared" si="75"/>
        <v>3.9512738347253888</v>
      </c>
      <c r="Q79" s="871">
        <f t="shared" si="75"/>
        <v>3.9529751998568825</v>
      </c>
      <c r="R79" s="871">
        <f t="shared" si="75"/>
        <v>3.9546772975732187</v>
      </c>
      <c r="S79" s="871">
        <f t="shared" si="75"/>
        <v>3.956380128189835</v>
      </c>
      <c r="T79" s="871">
        <f t="shared" si="75"/>
        <v>3.9580836920223113</v>
      </c>
      <c r="U79" s="871">
        <f t="shared" si="75"/>
        <v>3.9597879893863563</v>
      </c>
      <c r="V79" s="871">
        <f t="shared" si="75"/>
        <v>3.961493020597822</v>
      </c>
      <c r="W79" s="871">
        <f t="shared" si="75"/>
        <v>3.9631987859726934</v>
      </c>
      <c r="X79" s="871">
        <f t="shared" ref="X79:Z79" si="76">X39/X63</f>
        <v>3.9649052858270899</v>
      </c>
      <c r="Y79" s="871">
        <f t="shared" si="76"/>
        <v>3.9666125204772693</v>
      </c>
      <c r="Z79" s="871">
        <f t="shared" si="76"/>
        <v>3.9683204902396225</v>
      </c>
    </row>
    <row r="80" spans="2:27" ht="15" x14ac:dyDescent="0.25">
      <c r="B80" s="282" t="str">
        <f>VMT.VHT.ADT.Trip.Tables!B61</f>
        <v>Truck</v>
      </c>
      <c r="F80" s="871">
        <f t="shared" ref="F80:W80" si="77">F40/F64</f>
        <v>4.2928576494786865</v>
      </c>
      <c r="G80" s="871">
        <f t="shared" si="77"/>
        <v>4.3020311626049192</v>
      </c>
      <c r="H80" s="871">
        <f t="shared" si="77"/>
        <v>4.3112242788370425</v>
      </c>
      <c r="I80" s="871">
        <f t="shared" si="77"/>
        <v>4.320437040065416</v>
      </c>
      <c r="J80" s="871">
        <f t="shared" si="77"/>
        <v>4.3296694882699152</v>
      </c>
      <c r="K80" s="871">
        <f t="shared" si="77"/>
        <v>4.3389216655201244</v>
      </c>
      <c r="L80" s="871">
        <f t="shared" si="77"/>
        <v>4.3481936139755266</v>
      </c>
      <c r="M80" s="871">
        <f t="shared" si="77"/>
        <v>4.3574853758856946</v>
      </c>
      <c r="N80" s="871">
        <f t="shared" si="77"/>
        <v>4.3667969935904916</v>
      </c>
      <c r="O80" s="871">
        <f t="shared" si="77"/>
        <v>4.3761285095202496</v>
      </c>
      <c r="P80" s="871">
        <f t="shared" si="77"/>
        <v>4.3854799661959776</v>
      </c>
      <c r="Q80" s="871">
        <f t="shared" si="77"/>
        <v>4.3948514062295443</v>
      </c>
      <c r="R80" s="871">
        <f t="shared" si="77"/>
        <v>4.4042428723238807</v>
      </c>
      <c r="S80" s="871">
        <f t="shared" si="77"/>
        <v>4.4136544072731665</v>
      </c>
      <c r="T80" s="871">
        <f t="shared" si="77"/>
        <v>4.4230860539630337</v>
      </c>
      <c r="U80" s="871">
        <f t="shared" si="77"/>
        <v>4.4325378553707537</v>
      </c>
      <c r="V80" s="871">
        <f t="shared" si="77"/>
        <v>4.4420098545654412</v>
      </c>
      <c r="W80" s="871">
        <f t="shared" si="77"/>
        <v>4.45150209470824</v>
      </c>
      <c r="X80" s="871">
        <f t="shared" ref="X80:Z80" si="78">X40/X64</f>
        <v>4.4610146190525359</v>
      </c>
      <c r="Y80" s="871">
        <f t="shared" si="78"/>
        <v>4.4705474709441333</v>
      </c>
      <c r="Z80" s="871">
        <f t="shared" si="78"/>
        <v>4.4801006938214716</v>
      </c>
    </row>
    <row r="81" spans="2:26" ht="15" x14ac:dyDescent="0.25">
      <c r="B81" s="282" t="s">
        <v>5</v>
      </c>
      <c r="F81" s="871">
        <f t="shared" ref="F81:W81" si="79">F41/F65</f>
        <v>3.9532789199926639</v>
      </c>
      <c r="G81" s="871">
        <f t="shared" si="79"/>
        <v>3.9555967818931785</v>
      </c>
      <c r="H81" s="871">
        <f t="shared" si="79"/>
        <v>3.9579280595792925</v>
      </c>
      <c r="I81" s="871">
        <f t="shared" si="79"/>
        <v>3.9602729511501393</v>
      </c>
      <c r="J81" s="871">
        <f t="shared" si="79"/>
        <v>3.9626316570370239</v>
      </c>
      <c r="K81" s="871">
        <f t="shared" si="79"/>
        <v>3.96500438001897</v>
      </c>
      <c r="L81" s="871">
        <f t="shared" si="79"/>
        <v>3.9673913252381334</v>
      </c>
      <c r="M81" s="871">
        <f t="shared" si="79"/>
        <v>3.9697927002150695</v>
      </c>
      <c r="N81" s="871">
        <f t="shared" si="79"/>
        <v>3.9722087148638248</v>
      </c>
      <c r="O81" s="871">
        <f t="shared" si="79"/>
        <v>3.9746395815068891</v>
      </c>
      <c r="P81" s="871">
        <f t="shared" si="79"/>
        <v>3.977085514889954</v>
      </c>
      <c r="Q81" s="871">
        <f t="shared" si="79"/>
        <v>3.9795467321965066</v>
      </c>
      <c r="R81" s="871">
        <f t="shared" si="79"/>
        <v>3.9820234530622236</v>
      </c>
      <c r="S81" s="871">
        <f t="shared" si="79"/>
        <v>3.9845158995891743</v>
      </c>
      <c r="T81" s="871">
        <f t="shared" si="79"/>
        <v>3.9870242963598193</v>
      </c>
      <c r="U81" s="871">
        <f t="shared" si="79"/>
        <v>3.9895488704507915</v>
      </c>
      <c r="V81" s="871">
        <f t="shared" si="79"/>
        <v>3.9920898514464667</v>
      </c>
      <c r="W81" s="871">
        <f t="shared" si="79"/>
        <v>3.9946474714522866</v>
      </c>
      <c r="X81" s="871">
        <f t="shared" ref="X81:Z81" si="80">X41/X65</f>
        <v>3.9972219651078542</v>
      </c>
      <c r="Y81" s="871">
        <f t="shared" si="80"/>
        <v>3.9998135695997798</v>
      </c>
      <c r="Z81" s="871">
        <f t="shared" si="80"/>
        <v>4.0024225246742704</v>
      </c>
    </row>
    <row r="82" spans="2:26" ht="15" x14ac:dyDescent="0.25">
      <c r="F82" s="415"/>
      <c r="G82" s="415"/>
      <c r="H82" s="415"/>
      <c r="I82" s="415"/>
      <c r="J82" s="415"/>
      <c r="K82" s="415"/>
      <c r="L82" s="415"/>
      <c r="M82" s="415"/>
      <c r="N82" s="415"/>
      <c r="O82" s="415"/>
      <c r="P82" s="415"/>
      <c r="Q82" s="415"/>
      <c r="R82" s="415"/>
      <c r="S82" s="415"/>
      <c r="T82" s="415"/>
      <c r="U82" s="415"/>
      <c r="V82" s="415"/>
      <c r="W82" s="415"/>
      <c r="X82" s="415"/>
      <c r="Y82" s="415"/>
      <c r="Z82" s="415"/>
    </row>
    <row r="83" spans="2:26" ht="21.75" thickBot="1" x14ac:dyDescent="0.3">
      <c r="B83" s="1011" t="s">
        <v>583</v>
      </c>
      <c r="C83" s="1919" t="s">
        <v>664</v>
      </c>
      <c r="D83" s="1919"/>
      <c r="E83" s="1919"/>
      <c r="F83" s="1919"/>
      <c r="G83" s="1919"/>
      <c r="H83" s="1919"/>
      <c r="I83" s="1919"/>
      <c r="J83" s="1919"/>
      <c r="K83" s="1919"/>
      <c r="L83" s="1919"/>
      <c r="M83" s="1919"/>
      <c r="N83" s="1919"/>
      <c r="O83" s="1919"/>
      <c r="P83" s="1919"/>
      <c r="Q83" s="1919"/>
      <c r="R83" s="1919"/>
      <c r="S83" s="1919"/>
      <c r="T83" s="1919"/>
      <c r="U83" s="1919"/>
      <c r="V83" s="1919"/>
      <c r="W83" s="1919"/>
      <c r="X83" s="1427"/>
      <c r="Y83" s="1427"/>
      <c r="Z83" s="1427"/>
    </row>
    <row r="84" spans="2:26" ht="15.75" thickBot="1" x14ac:dyDescent="0.3">
      <c r="C84" s="417">
        <v>2020</v>
      </c>
      <c r="D84" s="417">
        <f>C84+1</f>
        <v>2021</v>
      </c>
      <c r="E84" s="417">
        <f t="shared" ref="E84:W84" si="81">D84+1</f>
        <v>2022</v>
      </c>
      <c r="F84" s="417">
        <f t="shared" si="81"/>
        <v>2023</v>
      </c>
      <c r="G84" s="417">
        <f t="shared" si="81"/>
        <v>2024</v>
      </c>
      <c r="H84" s="417">
        <f t="shared" si="81"/>
        <v>2025</v>
      </c>
      <c r="I84" s="417">
        <f t="shared" si="81"/>
        <v>2026</v>
      </c>
      <c r="J84" s="417">
        <f t="shared" si="81"/>
        <v>2027</v>
      </c>
      <c r="K84" s="417">
        <f t="shared" si="81"/>
        <v>2028</v>
      </c>
      <c r="L84" s="417">
        <f t="shared" si="81"/>
        <v>2029</v>
      </c>
      <c r="M84" s="417">
        <f t="shared" si="81"/>
        <v>2030</v>
      </c>
      <c r="N84" s="417">
        <f t="shared" si="81"/>
        <v>2031</v>
      </c>
      <c r="O84" s="417">
        <f t="shared" si="81"/>
        <v>2032</v>
      </c>
      <c r="P84" s="417">
        <f t="shared" si="81"/>
        <v>2033</v>
      </c>
      <c r="Q84" s="417">
        <f t="shared" si="81"/>
        <v>2034</v>
      </c>
      <c r="R84" s="417">
        <f t="shared" si="81"/>
        <v>2035</v>
      </c>
      <c r="S84" s="417">
        <f t="shared" si="81"/>
        <v>2036</v>
      </c>
      <c r="T84" s="417">
        <f t="shared" si="81"/>
        <v>2037</v>
      </c>
      <c r="U84" s="417">
        <f t="shared" si="81"/>
        <v>2038</v>
      </c>
      <c r="V84" s="417">
        <f t="shared" si="81"/>
        <v>2039</v>
      </c>
      <c r="W84" s="417">
        <f t="shared" si="81"/>
        <v>2040</v>
      </c>
      <c r="X84" s="417">
        <f t="shared" ref="X84:Z84" si="82">W84+1</f>
        <v>2041</v>
      </c>
      <c r="Y84" s="417">
        <f t="shared" si="82"/>
        <v>2042</v>
      </c>
      <c r="Z84" s="417">
        <f t="shared" si="82"/>
        <v>2043</v>
      </c>
    </row>
    <row r="85" spans="2:26" ht="15" x14ac:dyDescent="0.25">
      <c r="B85" s="282" t="e">
        <f>VMT.VHT.ADT.Trip.Tables!#REF!</f>
        <v>#REF!</v>
      </c>
      <c r="F85" s="871">
        <f t="shared" ref="F85:W85" si="83">F12/F20</f>
        <v>9.6655256740385234E-2</v>
      </c>
      <c r="G85" s="871">
        <f t="shared" si="83"/>
        <v>9.970561927881666E-2</v>
      </c>
      <c r="H85" s="871">
        <f t="shared" si="83"/>
        <v>0.10285224881740572</v>
      </c>
      <c r="I85" s="871">
        <f t="shared" si="83"/>
        <v>0.10609818346562395</v>
      </c>
      <c r="J85" s="871">
        <f t="shared" si="83"/>
        <v>0.10944655721324587</v>
      </c>
      <c r="K85" s="871">
        <f t="shared" si="83"/>
        <v>0.11290060295625494</v>
      </c>
      <c r="L85" s="871">
        <f t="shared" si="83"/>
        <v>0.11646365561824415</v>
      </c>
      <c r="M85" s="871">
        <f t="shared" si="83"/>
        <v>0.12013915537032577</v>
      </c>
      <c r="N85" s="871">
        <f t="shared" si="83"/>
        <v>0.12393065095265879</v>
      </c>
      <c r="O85" s="871">
        <f t="shared" si="83"/>
        <v>0.12784180310080118</v>
      </c>
      <c r="P85" s="871">
        <f t="shared" si="83"/>
        <v>0.13187638808019495</v>
      </c>
      <c r="Q85" s="871">
        <f t="shared" si="83"/>
        <v>0.13603830133219702</v>
      </c>
      <c r="R85" s="871">
        <f t="shared" si="83"/>
        <v>0.14033156123517543</v>
      </c>
      <c r="S85" s="871">
        <f t="shared" si="83"/>
        <v>0.1447603129843032</v>
      </c>
      <c r="T85" s="871">
        <f t="shared" si="83"/>
        <v>0.14932883259379512</v>
      </c>
      <c r="U85" s="871">
        <f t="shared" si="83"/>
        <v>0.15404153102545207</v>
      </c>
      <c r="V85" s="871">
        <f t="shared" si="83"/>
        <v>0.1589029584474986</v>
      </c>
      <c r="W85" s="871">
        <f t="shared" si="83"/>
        <v>0.16391780862782665</v>
      </c>
      <c r="X85" s="871">
        <f t="shared" ref="X85:Z85" si="84">X12/X20</f>
        <v>0.16909092346588575</v>
      </c>
      <c r="Y85" s="871">
        <f t="shared" si="84"/>
        <v>0.17442729766759638</v>
      </c>
      <c r="Z85" s="871">
        <f t="shared" si="84"/>
        <v>0.1799320835678003</v>
      </c>
    </row>
    <row r="86" spans="2:26" ht="15" x14ac:dyDescent="0.25">
      <c r="B86" s="282" t="e">
        <f>VMT.VHT.ADT.Trip.Tables!#REF!</f>
        <v>#REF!</v>
      </c>
      <c r="F86" s="871">
        <f t="shared" ref="F86:W86" si="85">F13/F21</f>
        <v>9.6717815612067354E-2</v>
      </c>
      <c r="G86" s="871">
        <f t="shared" si="85"/>
        <v>9.9767239684267622E-2</v>
      </c>
      <c r="H86" s="871">
        <f t="shared" si="85"/>
        <v>0.10291280930228351</v>
      </c>
      <c r="I86" s="871">
        <f t="shared" si="85"/>
        <v>0.10615755584704506</v>
      </c>
      <c r="J86" s="871">
        <f t="shared" si="85"/>
        <v>0.10950460627614443</v>
      </c>
      <c r="K86" s="871">
        <f t="shared" si="85"/>
        <v>0.11295718613728044</v>
      </c>
      <c r="L86" s="871">
        <f t="shared" si="85"/>
        <v>0.11651862267671415</v>
      </c>
      <c r="M86" s="871">
        <f t="shared" si="85"/>
        <v>0.12019234804573145</v>
      </c>
      <c r="N86" s="871">
        <f t="shared" si="85"/>
        <v>0.12398190260820235</v>
      </c>
      <c r="O86" s="871">
        <f t="shared" si="85"/>
        <v>0.12789093835242438</v>
      </c>
      <c r="P86" s="871">
        <f t="shared" si="85"/>
        <v>0.1319232224105385</v>
      </c>
      <c r="Q86" s="871">
        <f t="shared" si="85"/>
        <v>0.13608264068890924</v>
      </c>
      <c r="R86" s="871">
        <f t="shared" si="85"/>
        <v>0.14037320161296685</v>
      </c>
      <c r="S86" s="871">
        <f t="shared" si="85"/>
        <v>0.14479903999012095</v>
      </c>
      <c r="T86" s="871">
        <f t="shared" si="85"/>
        <v>0.149364420994469</v>
      </c>
      <c r="U86" s="871">
        <f t="shared" si="85"/>
        <v>0.15407374427713791</v>
      </c>
      <c r="V86" s="871">
        <f t="shared" si="85"/>
        <v>0.15893154820622199</v>
      </c>
      <c r="W86" s="871">
        <f t="shared" si="85"/>
        <v>0.16394251424040154</v>
      </c>
      <c r="X86" s="871">
        <f t="shared" ref="X86:Z86" si="86">X13/X21</f>
        <v>0.16911147144045785</v>
      </c>
      <c r="Y86" s="871">
        <f t="shared" si="86"/>
        <v>0.1744434011230323</v>
      </c>
      <c r="Z86" s="871">
        <f t="shared" si="86"/>
        <v>0.17994344166111387</v>
      </c>
    </row>
    <row r="87" spans="2:26" ht="15" x14ac:dyDescent="0.25">
      <c r="B87" s="282" t="e">
        <f>VMT.VHT.ADT.Trip.Tables!#REF!</f>
        <v>#REF!</v>
      </c>
      <c r="F87" s="871">
        <f t="shared" ref="F87:W87" si="87">F14/F22</f>
        <v>9.6657849696207332E-2</v>
      </c>
      <c r="G87" s="871">
        <f t="shared" si="87"/>
        <v>9.9708372983463717E-2</v>
      </c>
      <c r="H87" s="871">
        <f t="shared" si="87"/>
        <v>0.10285517083461058</v>
      </c>
      <c r="I87" s="871">
        <f t="shared" si="87"/>
        <v>0.10610128167642899</v>
      </c>
      <c r="J87" s="871">
        <f t="shared" si="87"/>
        <v>0.10944983982849797</v>
      </c>
      <c r="K87" s="871">
        <f t="shared" si="87"/>
        <v>0.11290407852957282</v>
      </c>
      <c r="L87" s="871">
        <f t="shared" si="87"/>
        <v>0.11646733305947574</v>
      </c>
      <c r="M87" s="871">
        <f t="shared" si="87"/>
        <v>0.12014304395951364</v>
      </c>
      <c r="N87" s="871">
        <f t="shared" si="87"/>
        <v>0.12393476035453237</v>
      </c>
      <c r="O87" s="871">
        <f t="shared" si="87"/>
        <v>0.12784614337981473</v>
      </c>
      <c r="P87" s="871">
        <f t="shared" si="87"/>
        <v>0.13188096971613186</v>
      </c>
      <c r="Q87" s="871">
        <f t="shared" si="87"/>
        <v>0.13604313523636069</v>
      </c>
      <c r="R87" s="871">
        <f t="shared" si="87"/>
        <v>0.14033665876718854</v>
      </c>
      <c r="S87" s="871">
        <f t="shared" si="87"/>
        <v>0.14476568596953754</v>
      </c>
      <c r="T87" s="871">
        <f t="shared" si="87"/>
        <v>0.14933449334145493</v>
      </c>
      <c r="U87" s="871">
        <f t="shared" si="87"/>
        <v>0.15404749234733509</v>
      </c>
      <c r="V87" s="871">
        <f t="shared" si="87"/>
        <v>0.15890923367745943</v>
      </c>
      <c r="W87" s="871">
        <f t="shared" si="87"/>
        <v>0.16392441164196753</v>
      </c>
      <c r="X87" s="871">
        <f t="shared" ref="X87:Z87" si="88">X14/X22</f>
        <v>0.16909786870350244</v>
      </c>
      <c r="Y87" s="871">
        <f t="shared" si="88"/>
        <v>0.17443460015290582</v>
      </c>
      <c r="Z87" s="871">
        <f t="shared" si="88"/>
        <v>0.17993975893247857</v>
      </c>
    </row>
    <row r="88" spans="2:26" ht="15" x14ac:dyDescent="0.25">
      <c r="B88" s="282" t="e">
        <f>VMT.VHT.ADT.Trip.Tables!#REF!</f>
        <v>#REF!</v>
      </c>
      <c r="F88" s="871">
        <f t="shared" ref="F88:W88" si="89">F15/F23</f>
        <v>0.10802067690326898</v>
      </c>
      <c r="G88" s="871">
        <f t="shared" si="89"/>
        <v>0.11169947343895907</v>
      </c>
      <c r="H88" s="871">
        <f t="shared" si="89"/>
        <v>0.11550355658031566</v>
      </c>
      <c r="I88" s="871">
        <f t="shared" si="89"/>
        <v>0.11943719313943529</v>
      </c>
      <c r="J88" s="871">
        <f t="shared" si="89"/>
        <v>0.12350479524071974</v>
      </c>
      <c r="K88" s="871">
        <f t="shared" si="89"/>
        <v>0.12771092526969127</v>
      </c>
      <c r="L88" s="871">
        <f t="shared" si="89"/>
        <v>0.13206030099034743</v>
      </c>
      <c r="M88" s="871">
        <f t="shared" si="89"/>
        <v>0.13655780083679372</v>
      </c>
      <c r="N88" s="871">
        <f t="shared" si="89"/>
        <v>0.14120846938509141</v>
      </c>
      <c r="O88" s="871">
        <f t="shared" si="89"/>
        <v>0.1460175230114556</v>
      </c>
      <c r="P88" s="871">
        <f t="shared" si="89"/>
        <v>0.15099035574315212</v>
      </c>
      <c r="Q88" s="871">
        <f t="shared" si="89"/>
        <v>0.15613254530865472</v>
      </c>
      <c r="R88" s="871">
        <f t="shared" si="89"/>
        <v>0.1614498593938489</v>
      </c>
      <c r="S88" s="871">
        <f t="shared" si="89"/>
        <v>0.16694826211129904</v>
      </c>
      <c r="T88" s="871">
        <f t="shared" si="89"/>
        <v>0.17263392068983688</v>
      </c>
      <c r="U88" s="871">
        <f t="shared" si="89"/>
        <v>0.17851321239197163</v>
      </c>
      <c r="V88" s="871">
        <f t="shared" si="89"/>
        <v>0.18459273166688392</v>
      </c>
      <c r="W88" s="871">
        <f t="shared" si="89"/>
        <v>0.19087929754702376</v>
      </c>
      <c r="X88" s="871">
        <f t="shared" ref="X88:Z88" si="90">X15/X23</f>
        <v>0.19737996129661098</v>
      </c>
      <c r="Y88" s="871">
        <f t="shared" si="90"/>
        <v>0.20410201432061537</v>
      </c>
      <c r="Z88" s="871">
        <f t="shared" si="90"/>
        <v>0.21105299634308897</v>
      </c>
    </row>
    <row r="89" spans="2:26" ht="15" x14ac:dyDescent="0.25">
      <c r="B89" s="282" t="s">
        <v>5</v>
      </c>
      <c r="F89" s="871">
        <f t="shared" ref="F89:W89" si="91">F16/F24</f>
        <v>9.7411864491520936E-2</v>
      </c>
      <c r="G89" s="871">
        <f t="shared" si="91"/>
        <v>0.10050228971802089</v>
      </c>
      <c r="H89" s="871">
        <f t="shared" si="91"/>
        <v>0.10369077807196718</v>
      </c>
      <c r="I89" s="871">
        <f t="shared" si="91"/>
        <v>0.10698044122452673</v>
      </c>
      <c r="J89" s="871">
        <f t="shared" si="91"/>
        <v>0.11037448956780116</v>
      </c>
      <c r="K89" s="871">
        <f t="shared" si="91"/>
        <v>0.11387623534590541</v>
      </c>
      <c r="L89" s="871">
        <f t="shared" si="91"/>
        <v>0.11748909588531416</v>
      </c>
      <c r="M89" s="871">
        <f t="shared" si="91"/>
        <v>0.12121659692762139</v>
      </c>
      <c r="N89" s="871">
        <f t="shared" si="91"/>
        <v>0.12506237606795909</v>
      </c>
      <c r="O89" s="871">
        <f t="shared" si="91"/>
        <v>0.12903018630242244</v>
      </c>
      <c r="P89" s="871">
        <f t="shared" si="91"/>
        <v>0.13312389968795674</v>
      </c>
      <c r="Q89" s="871">
        <f t="shared" si="91"/>
        <v>0.13734751111826912</v>
      </c>
      <c r="R89" s="871">
        <f t="shared" si="91"/>
        <v>0.14170514221944192</v>
      </c>
      <c r="S89" s="871">
        <f t="shared" si="91"/>
        <v>0.14620104536904011</v>
      </c>
      <c r="T89" s="871">
        <f t="shared" si="91"/>
        <v>0.15083960784262723</v>
      </c>
      <c r="U89" s="871">
        <f t="shared" si="91"/>
        <v>0.15562535609172515</v>
      </c>
      <c r="V89" s="871">
        <f t="shared" si="91"/>
        <v>0.16056296015738428</v>
      </c>
      <c r="W89" s="871">
        <f t="shared" si="91"/>
        <v>0.16565723822365971</v>
      </c>
      <c r="X89" s="871">
        <f t="shared" ref="X89:Z89" si="92">X16/X24</f>
        <v>0.1709131613154273</v>
      </c>
      <c r="Y89" s="871">
        <f t="shared" si="92"/>
        <v>0.17633585814511213</v>
      </c>
      <c r="Z89" s="871">
        <f t="shared" si="92"/>
        <v>0.18193062011304836</v>
      </c>
    </row>
    <row r="90" spans="2:26" ht="15" x14ac:dyDescent="0.25">
      <c r="F90" s="711"/>
      <c r="G90" s="711"/>
      <c r="H90" s="711"/>
      <c r="I90" s="711"/>
      <c r="J90" s="711"/>
      <c r="K90" s="711"/>
      <c r="L90" s="711"/>
      <c r="M90" s="711"/>
      <c r="N90" s="711"/>
      <c r="O90" s="711"/>
      <c r="P90" s="711"/>
      <c r="Q90" s="711"/>
      <c r="R90" s="711"/>
      <c r="S90" s="711"/>
      <c r="T90" s="711"/>
      <c r="U90" s="711"/>
      <c r="V90" s="711"/>
      <c r="W90" s="711"/>
      <c r="X90" s="711"/>
      <c r="Y90" s="711"/>
      <c r="Z90" s="711"/>
    </row>
    <row r="91" spans="2:26" ht="21.75" thickBot="1" x14ac:dyDescent="0.3">
      <c r="B91" s="1011" t="str">
        <f>IF(BCA!I8=1,BCA!H5,IF(BCA!I8=2,BCA!H6,IF(BCA!I8=3,BCA!H7,IF(BCA!I8=4,BCA!#REF!,IF(BCA!I8=5,"error")))))</f>
        <v>6-Lane CD SDI</v>
      </c>
      <c r="C91" s="1919" t="s">
        <v>665</v>
      </c>
      <c r="D91" s="1919"/>
      <c r="E91" s="1919"/>
      <c r="F91" s="1919"/>
      <c r="G91" s="1919"/>
      <c r="H91" s="1919"/>
      <c r="I91" s="1919"/>
      <c r="J91" s="1919"/>
      <c r="K91" s="1919"/>
      <c r="L91" s="1919"/>
      <c r="M91" s="1919"/>
      <c r="N91" s="1919"/>
      <c r="O91" s="1919"/>
      <c r="P91" s="1919"/>
      <c r="Q91" s="1919"/>
      <c r="R91" s="1919"/>
      <c r="S91" s="1919"/>
      <c r="T91" s="1919"/>
      <c r="U91" s="1919"/>
      <c r="V91" s="1919"/>
      <c r="W91" s="1919"/>
      <c r="X91" s="1427"/>
      <c r="Y91" s="1427"/>
      <c r="Z91" s="1427"/>
    </row>
    <row r="92" spans="2:26" ht="15.75" thickBot="1" x14ac:dyDescent="0.3">
      <c r="C92" s="417">
        <v>2020</v>
      </c>
      <c r="D92" s="417">
        <f>C92+1</f>
        <v>2021</v>
      </c>
      <c r="E92" s="417">
        <f t="shared" ref="E92:W92" si="93">D92+1</f>
        <v>2022</v>
      </c>
      <c r="F92" s="417">
        <f t="shared" si="93"/>
        <v>2023</v>
      </c>
      <c r="G92" s="417">
        <f t="shared" si="93"/>
        <v>2024</v>
      </c>
      <c r="H92" s="417">
        <f t="shared" si="93"/>
        <v>2025</v>
      </c>
      <c r="I92" s="417">
        <f t="shared" si="93"/>
        <v>2026</v>
      </c>
      <c r="J92" s="417">
        <f t="shared" si="93"/>
        <v>2027</v>
      </c>
      <c r="K92" s="417">
        <f t="shared" si="93"/>
        <v>2028</v>
      </c>
      <c r="L92" s="417">
        <f t="shared" si="93"/>
        <v>2029</v>
      </c>
      <c r="M92" s="417">
        <f t="shared" si="93"/>
        <v>2030</v>
      </c>
      <c r="N92" s="417">
        <f t="shared" si="93"/>
        <v>2031</v>
      </c>
      <c r="O92" s="417">
        <f t="shared" si="93"/>
        <v>2032</v>
      </c>
      <c r="P92" s="417">
        <f t="shared" si="93"/>
        <v>2033</v>
      </c>
      <c r="Q92" s="417">
        <f t="shared" si="93"/>
        <v>2034</v>
      </c>
      <c r="R92" s="417">
        <f t="shared" si="93"/>
        <v>2035</v>
      </c>
      <c r="S92" s="417">
        <f t="shared" si="93"/>
        <v>2036</v>
      </c>
      <c r="T92" s="417">
        <f t="shared" si="93"/>
        <v>2037</v>
      </c>
      <c r="U92" s="417">
        <f t="shared" si="93"/>
        <v>2038</v>
      </c>
      <c r="V92" s="417">
        <f t="shared" si="93"/>
        <v>2039</v>
      </c>
      <c r="W92" s="417">
        <f t="shared" si="93"/>
        <v>2040</v>
      </c>
      <c r="X92" s="417">
        <f t="shared" ref="X92:Z92" si="94">W92+1</f>
        <v>2041</v>
      </c>
      <c r="Y92" s="417">
        <f t="shared" si="94"/>
        <v>2042</v>
      </c>
      <c r="Z92" s="417">
        <f t="shared" si="94"/>
        <v>2043</v>
      </c>
    </row>
    <row r="93" spans="2:26" ht="15" x14ac:dyDescent="0.25">
      <c r="B93" s="282" t="str">
        <f>VMT.VHT.ADT.Trip.Tables!B74</f>
        <v>Auto.Leisure</v>
      </c>
      <c r="F93" s="871">
        <f t="shared" ref="F93:W93" si="95">F45/F61</f>
        <v>8.78109688821236E-2</v>
      </c>
      <c r="G93" s="871">
        <f t="shared" si="95"/>
        <v>8.9002010436245282E-2</v>
      </c>
      <c r="H93" s="871">
        <f t="shared" si="95"/>
        <v>9.020920691954841E-2</v>
      </c>
      <c r="I93" s="871">
        <f t="shared" si="95"/>
        <v>9.1432777452630357E-2</v>
      </c>
      <c r="J93" s="871">
        <f t="shared" si="95"/>
        <v>9.2672944128174367E-2</v>
      </c>
      <c r="K93" s="871">
        <f t="shared" si="95"/>
        <v>9.3929932051261975E-2</v>
      </c>
      <c r="L93" s="871">
        <f t="shared" si="95"/>
        <v>9.5203969380232331E-2</v>
      </c>
      <c r="M93" s="871">
        <f t="shared" si="95"/>
        <v>9.6495287368095553E-2</v>
      </c>
      <c r="N93" s="871">
        <f t="shared" si="95"/>
        <v>9.780412040450806E-2</v>
      </c>
      <c r="O93" s="871">
        <f t="shared" si="95"/>
        <v>9.9130706058317017E-2</v>
      </c>
      <c r="P93" s="871">
        <f t="shared" si="95"/>
        <v>0.10047528512068189</v>
      </c>
      <c r="Q93" s="871">
        <f t="shared" si="95"/>
        <v>0.10183810164878102</v>
      </c>
      <c r="R93" s="871">
        <f t="shared" si="95"/>
        <v>0.10321940301011079</v>
      </c>
      <c r="S93" s="871">
        <f t="shared" si="95"/>
        <v>0.10461943992738597</v>
      </c>
      <c r="T93" s="871">
        <f t="shared" si="95"/>
        <v>0.10603846652404868</v>
      </c>
      <c r="U93" s="871">
        <f t="shared" si="95"/>
        <v>0.10747674037039491</v>
      </c>
      <c r="V93" s="871">
        <f t="shared" si="95"/>
        <v>0.10893452253032672</v>
      </c>
      <c r="W93" s="871">
        <f t="shared" si="95"/>
        <v>0.11041207760873829</v>
      </c>
      <c r="X93" s="871">
        <f t="shared" ref="X93:Z93" si="96">X45/X61</f>
        <v>0.111909673799545</v>
      </c>
      <c r="Y93" s="871">
        <f t="shared" si="96"/>
        <v>0.11342758293436374</v>
      </c>
      <c r="Z93" s="871">
        <f t="shared" si="96"/>
        <v>0.1149660805318537</v>
      </c>
    </row>
    <row r="94" spans="2:26" ht="15" x14ac:dyDescent="0.25">
      <c r="B94" s="282" t="str">
        <f>VMT.VHT.ADT.Trip.Tables!B75</f>
        <v>Auto.Commute</v>
      </c>
      <c r="F94" s="871">
        <f t="shared" ref="F94:W94" si="97">F46/F62</f>
        <v>8.7734424221592708E-2</v>
      </c>
      <c r="G94" s="871">
        <f t="shared" si="97"/>
        <v>8.8928025410951378E-2</v>
      </c>
      <c r="H94" s="871">
        <f t="shared" si="97"/>
        <v>9.0137865195500905E-2</v>
      </c>
      <c r="I94" s="871">
        <f t="shared" si="97"/>
        <v>9.1364164496580955E-2</v>
      </c>
      <c r="J94" s="871">
        <f t="shared" si="97"/>
        <v>9.2607147241101459E-2</v>
      </c>
      <c r="K94" s="871">
        <f t="shared" si="97"/>
        <v>9.3867040402432364E-2</v>
      </c>
      <c r="L94" s="871">
        <f t="shared" si="97"/>
        <v>9.5144074041850102E-2</v>
      </c>
      <c r="M94" s="871">
        <f t="shared" si="97"/>
        <v>9.6438481350547431E-2</v>
      </c>
      <c r="N94" s="871">
        <f t="shared" si="97"/>
        <v>9.7750498692215082E-2</v>
      </c>
      <c r="O94" s="871">
        <f t="shared" si="97"/>
        <v>9.908036564620272E-2</v>
      </c>
      <c r="P94" s="871">
        <f t="shared" si="97"/>
        <v>0.10042832505126703</v>
      </c>
      <c r="Q94" s="871">
        <f t="shared" si="97"/>
        <v>0.10179462304991499</v>
      </c>
      <c r="R94" s="871">
        <f t="shared" si="97"/>
        <v>0.10317950913335029</v>
      </c>
      <c r="S94" s="871">
        <f t="shared" si="97"/>
        <v>0.10458323618703172</v>
      </c>
      <c r="T94" s="871">
        <f t="shared" si="97"/>
        <v>0.10600606053685054</v>
      </c>
      <c r="U94" s="871">
        <f t="shared" si="97"/>
        <v>0.10744824199593707</v>
      </c>
      <c r="V94" s="871">
        <f t="shared" si="97"/>
        <v>0.10891004391210307</v>
      </c>
      <c r="W94" s="871">
        <f t="shared" si="97"/>
        <v>0.11039173321593047</v>
      </c>
      <c r="X94" s="871">
        <f t="shared" ref="X94:Z94" si="98">X46/X62</f>
        <v>0.11189358046951363</v>
      </c>
      <c r="Y94" s="871">
        <f t="shared" si="98"/>
        <v>0.11341585991586511</v>
      </c>
      <c r="Z94" s="871">
        <f t="shared" si="98"/>
        <v>0.11495884952899342</v>
      </c>
    </row>
    <row r="95" spans="2:26" ht="15" x14ac:dyDescent="0.25">
      <c r="B95" s="282" t="str">
        <f>VMT.VHT.ADT.Trip.Tables!B76</f>
        <v>Auto.Business</v>
      </c>
      <c r="F95" s="871">
        <f t="shared" ref="F95:W95" si="99">F47/F63</f>
        <v>8.780803672281455E-2</v>
      </c>
      <c r="G95" s="871">
        <f t="shared" si="99"/>
        <v>8.899896321751577E-2</v>
      </c>
      <c r="H95" s="871">
        <f t="shared" si="99"/>
        <v>9.0206042059641126E-2</v>
      </c>
      <c r="I95" s="871">
        <f t="shared" si="99"/>
        <v>9.1429492320920513E-2</v>
      </c>
      <c r="J95" s="871">
        <f t="shared" si="99"/>
        <v>9.2669536044318934E-2</v>
      </c>
      <c r="K95" s="871">
        <f t="shared" si="99"/>
        <v>9.392639828433498E-2</v>
      </c>
      <c r="L95" s="871">
        <f t="shared" si="99"/>
        <v>9.5200307147845734E-2</v>
      </c>
      <c r="M95" s="871">
        <f t="shared" si="99"/>
        <v>9.6491493835505759E-2</v>
      </c>
      <c r="N95" s="871">
        <f t="shared" si="99"/>
        <v>9.7800192683707501E-2</v>
      </c>
      <c r="O95" s="871">
        <f t="shared" si="99"/>
        <v>9.9126641207110677E-2</v>
      </c>
      <c r="P95" s="871">
        <f t="shared" si="99"/>
        <v>0.10047108014174884</v>
      </c>
      <c r="Q95" s="871">
        <f t="shared" si="99"/>
        <v>0.10183375348872009</v>
      </c>
      <c r="R95" s="871">
        <f t="shared" si="99"/>
        <v>0.103214908558471</v>
      </c>
      <c r="S95" s="871">
        <f t="shared" si="99"/>
        <v>0.10461479601568033</v>
      </c>
      <c r="T95" s="871">
        <f t="shared" si="99"/>
        <v>0.10603366992475229</v>
      </c>
      <c r="U95" s="871">
        <f t="shared" si="99"/>
        <v>0.10747178779592637</v>
      </c>
      <c r="V95" s="871">
        <f t="shared" si="99"/>
        <v>0.10892941063201264</v>
      </c>
      <c r="W95" s="871">
        <f t="shared" si="99"/>
        <v>0.11040680297576087</v>
      </c>
      <c r="X95" s="871">
        <f t="shared" ref="X95:Z95" si="100">X47/X63</f>
        <v>0.11190423295787237</v>
      </c>
      <c r="Y95" s="871">
        <f t="shared" si="100"/>
        <v>0.11342197234566259</v>
      </c>
      <c r="Z95" s="871">
        <f t="shared" si="100"/>
        <v>0.11496029659238406</v>
      </c>
    </row>
    <row r="96" spans="2:26" ht="15" x14ac:dyDescent="0.25">
      <c r="B96" s="282" t="str">
        <f>VMT.VHT.ADT.Trip.Tables!B77</f>
        <v>Truck</v>
      </c>
      <c r="F96" s="871">
        <f t="shared" ref="F96:W96" si="101">F48/F64</f>
        <v>9.547568089935457E-2</v>
      </c>
      <c r="G96" s="871">
        <f t="shared" si="101"/>
        <v>9.6678031052871288E-2</v>
      </c>
      <c r="H96" s="871">
        <f t="shared" si="101"/>
        <v>9.789552271549315E-2</v>
      </c>
      <c r="I96" s="871">
        <f t="shared" si="101"/>
        <v>9.9128346568193901E-2</v>
      </c>
      <c r="J96" s="871">
        <f t="shared" si="101"/>
        <v>0.10037669569324244</v>
      </c>
      <c r="K96" s="871">
        <f t="shared" si="101"/>
        <v>0.1016407656044431</v>
      </c>
      <c r="L96" s="871">
        <f t="shared" si="101"/>
        <v>0.10292075427775649</v>
      </c>
      <c r="M96" s="871">
        <f t="shared" si="101"/>
        <v>0.10421686218230614</v>
      </c>
      <c r="N96" s="871">
        <f t="shared" si="101"/>
        <v>0.10552929231177557</v>
      </c>
      <c r="O96" s="871">
        <f t="shared" si="101"/>
        <v>0.10685825021620074</v>
      </c>
      <c r="P96" s="871">
        <f t="shared" si="101"/>
        <v>0.10820394403416271</v>
      </c>
      <c r="Q96" s="871">
        <f t="shared" si="101"/>
        <v>0.10956658452538615</v>
      </c>
      <c r="R96" s="871">
        <f t="shared" si="101"/>
        <v>0.11094638510374775</v>
      </c>
      <c r="S96" s="871">
        <f t="shared" si="101"/>
        <v>0.11234356187070091</v>
      </c>
      <c r="T96" s="871">
        <f t="shared" si="101"/>
        <v>0.11375833364912102</v>
      </c>
      <c r="U96" s="871">
        <f t="shared" si="101"/>
        <v>0.11519092201757691</v>
      </c>
      <c r="V96" s="871">
        <f t="shared" si="101"/>
        <v>0.11664155134503426</v>
      </c>
      <c r="W96" s="871">
        <f t="shared" si="101"/>
        <v>0.11811044882599557</v>
      </c>
      <c r="X96" s="871">
        <f t="shared" ref="X96:Z96" si="102">X48/X64</f>
        <v>0.11959784451608299</v>
      </c>
      <c r="Y96" s="871">
        <f t="shared" si="102"/>
        <v>0.12110397136806912</v>
      </c>
      <c r="Z96" s="871">
        <f t="shared" si="102"/>
        <v>0.12262906526836162</v>
      </c>
    </row>
    <row r="97" spans="2:26" ht="15" x14ac:dyDescent="0.25">
      <c r="B97" s="282" t="s">
        <v>5</v>
      </c>
      <c r="F97" s="871">
        <f t="shared" ref="F97:W97" si="103">F49/F65</f>
        <v>8.8195153799687884E-2</v>
      </c>
      <c r="G97" s="871">
        <f t="shared" si="103"/>
        <v>8.9392379997615415E-2</v>
      </c>
      <c r="H97" s="871">
        <f t="shared" si="103"/>
        <v>9.060578197299661E-2</v>
      </c>
      <c r="I97" s="871">
        <f t="shared" si="103"/>
        <v>9.1835576037562025E-2</v>
      </c>
      <c r="J97" s="871">
        <f t="shared" si="103"/>
        <v>9.3081981334600897E-2</v>
      </c>
      <c r="K97" s="871">
        <f t="shared" si="103"/>
        <v>9.4345219874495054E-2</v>
      </c>
      <c r="L97" s="871">
        <f t="shared" si="103"/>
        <v>9.562551657066469E-2</v>
      </c>
      <c r="M97" s="871">
        <f t="shared" si="103"/>
        <v>9.6923099275929056E-2</v>
      </c>
      <c r="N97" s="871">
        <f t="shared" si="103"/>
        <v>9.8238198819287151E-2</v>
      </c>
      <c r="O97" s="871">
        <f t="shared" si="103"/>
        <v>9.9571049043121793E-2</v>
      </c>
      <c r="P97" s="871">
        <f t="shared" si="103"/>
        <v>0.10092188684083191</v>
      </c>
      <c r="Q97" s="871">
        <f t="shared" si="103"/>
        <v>0.10229095219489671</v>
      </c>
      <c r="R97" s="871">
        <f t="shared" si="103"/>
        <v>0.10367848821537647</v>
      </c>
      <c r="S97" s="871">
        <f t="shared" si="103"/>
        <v>0.10508474117885377</v>
      </c>
      <c r="T97" s="871">
        <f t="shared" si="103"/>
        <v>0.10650996056782</v>
      </c>
      <c r="U97" s="871">
        <f t="shared" si="103"/>
        <v>0.10795439911051083</v>
      </c>
      <c r="V97" s="871">
        <f t="shared" si="103"/>
        <v>0.10941831282119588</v>
      </c>
      <c r="W97" s="871">
        <f t="shared" si="103"/>
        <v>0.11090196104092616</v>
      </c>
      <c r="X97" s="871">
        <f t="shared" ref="X97:Z97" si="104">X49/X65</f>
        <v>0.11240560647874437</v>
      </c>
      <c r="Y97" s="871">
        <f t="shared" si="104"/>
        <v>0.11392951525336215</v>
      </c>
      <c r="Z97" s="871">
        <f t="shared" si="104"/>
        <v>0.11547395693530907</v>
      </c>
    </row>
    <row r="143" spans="1:49" s="282" customFormat="1" ht="21.75" customHeight="1" thickBot="1" x14ac:dyDescent="0.35">
      <c r="A143" s="422"/>
      <c r="C143" s="1919" t="s">
        <v>479</v>
      </c>
      <c r="D143" s="1919"/>
      <c r="E143" s="1919"/>
      <c r="F143" s="1919"/>
      <c r="G143" s="1919"/>
      <c r="H143" s="1919"/>
      <c r="I143" s="1919"/>
      <c r="J143" s="1919"/>
      <c r="K143" s="1919"/>
      <c r="L143" s="1919"/>
      <c r="M143" s="1919"/>
      <c r="N143" s="1919"/>
      <c r="O143" s="1919"/>
      <c r="P143" s="1919"/>
      <c r="Q143" s="1919"/>
      <c r="R143" s="1919"/>
      <c r="S143" s="1919"/>
      <c r="T143" s="1919"/>
      <c r="U143" s="1919"/>
      <c r="V143" s="1919"/>
      <c r="W143" s="1919"/>
      <c r="X143" s="1427"/>
      <c r="Y143" s="1427"/>
      <c r="Z143" s="1427"/>
      <c r="AB143" s="415"/>
      <c r="AC143" s="415"/>
      <c r="AD143" s="415"/>
      <c r="AE143" s="415"/>
      <c r="AF143" s="415"/>
      <c r="AG143" s="415"/>
      <c r="AH143" s="415"/>
      <c r="AI143" s="415"/>
      <c r="AJ143" s="415"/>
      <c r="AK143" s="415"/>
      <c r="AL143" s="415"/>
      <c r="AM143" s="415"/>
      <c r="AN143" s="415"/>
      <c r="AO143" s="415"/>
      <c r="AP143" s="415"/>
      <c r="AQ143" s="415"/>
      <c r="AR143" s="415"/>
      <c r="AS143" s="415"/>
      <c r="AT143" s="415"/>
      <c r="AU143" s="415"/>
      <c r="AV143" s="415"/>
      <c r="AW143" s="415"/>
    </row>
    <row r="144" spans="1:49" s="282" customFormat="1" ht="15" thickBot="1" x14ac:dyDescent="0.35">
      <c r="A144" s="422"/>
      <c r="C144" s="417">
        <v>2020</v>
      </c>
      <c r="D144" s="417">
        <f>C144+1</f>
        <v>2021</v>
      </c>
      <c r="E144" s="417">
        <f t="shared" ref="E144:W144" si="105">D144+1</f>
        <v>2022</v>
      </c>
      <c r="F144" s="417">
        <f t="shared" si="105"/>
        <v>2023</v>
      </c>
      <c r="G144" s="417">
        <f t="shared" si="105"/>
        <v>2024</v>
      </c>
      <c r="H144" s="417">
        <f t="shared" si="105"/>
        <v>2025</v>
      </c>
      <c r="I144" s="417">
        <f t="shared" si="105"/>
        <v>2026</v>
      </c>
      <c r="J144" s="417">
        <f t="shared" si="105"/>
        <v>2027</v>
      </c>
      <c r="K144" s="417">
        <f t="shared" si="105"/>
        <v>2028</v>
      </c>
      <c r="L144" s="417">
        <f t="shared" si="105"/>
        <v>2029</v>
      </c>
      <c r="M144" s="417">
        <f t="shared" si="105"/>
        <v>2030</v>
      </c>
      <c r="N144" s="417">
        <f t="shared" si="105"/>
        <v>2031</v>
      </c>
      <c r="O144" s="417">
        <f t="shared" si="105"/>
        <v>2032</v>
      </c>
      <c r="P144" s="417">
        <f t="shared" si="105"/>
        <v>2033</v>
      </c>
      <c r="Q144" s="417">
        <f t="shared" si="105"/>
        <v>2034</v>
      </c>
      <c r="R144" s="417">
        <f t="shared" si="105"/>
        <v>2035</v>
      </c>
      <c r="S144" s="417">
        <f t="shared" si="105"/>
        <v>2036</v>
      </c>
      <c r="T144" s="417">
        <f t="shared" si="105"/>
        <v>2037</v>
      </c>
      <c r="U144" s="417">
        <f t="shared" si="105"/>
        <v>2038</v>
      </c>
      <c r="V144" s="417">
        <f t="shared" si="105"/>
        <v>2039</v>
      </c>
      <c r="W144" s="417">
        <f t="shared" si="105"/>
        <v>2040</v>
      </c>
      <c r="X144" s="417">
        <f t="shared" ref="X144:Z144" si="106">W144+1</f>
        <v>2041</v>
      </c>
      <c r="Y144" s="417">
        <f t="shared" si="106"/>
        <v>2042</v>
      </c>
      <c r="Z144" s="417">
        <f t="shared" si="106"/>
        <v>2043</v>
      </c>
      <c r="AB144" s="415"/>
      <c r="AC144" s="415"/>
      <c r="AD144" s="415"/>
      <c r="AE144" s="415"/>
      <c r="AF144" s="415"/>
      <c r="AG144" s="415"/>
      <c r="AH144" s="415"/>
      <c r="AI144" s="415"/>
      <c r="AJ144" s="415"/>
      <c r="AK144" s="415"/>
      <c r="AL144" s="415"/>
      <c r="AM144" s="415"/>
      <c r="AN144" s="415"/>
      <c r="AO144" s="415"/>
      <c r="AP144" s="415"/>
      <c r="AQ144" s="415"/>
      <c r="AR144" s="415"/>
      <c r="AS144" s="415"/>
      <c r="AT144" s="415"/>
      <c r="AU144" s="415"/>
      <c r="AV144" s="415"/>
      <c r="AW144" s="415"/>
    </row>
    <row r="145" spans="2:26" x14ac:dyDescent="0.3">
      <c r="B145" s="282" t="s">
        <v>561</v>
      </c>
      <c r="C145" s="421"/>
      <c r="D145" s="420"/>
      <c r="E145" s="420"/>
      <c r="F145" s="420">
        <f t="shared" ref="F145:W145" si="107">F37-F4</f>
        <v>51240342.440891802</v>
      </c>
      <c r="G145" s="420">
        <f t="shared" si="107"/>
        <v>52450388.91326803</v>
      </c>
      <c r="H145" s="420">
        <f t="shared" si="107"/>
        <v>53678755.629554629</v>
      </c>
      <c r="I145" s="420">
        <f t="shared" si="107"/>
        <v>54925681.794674277</v>
      </c>
      <c r="J145" s="420">
        <f t="shared" si="107"/>
        <v>56191409.515268564</v>
      </c>
      <c r="K145" s="420">
        <f t="shared" si="107"/>
        <v>57476183.833407402</v>
      </c>
      <c r="L145" s="420">
        <f t="shared" si="107"/>
        <v>58780252.76067704</v>
      </c>
      <c r="M145" s="420">
        <f t="shared" si="107"/>
        <v>60103867.312655985</v>
      </c>
      <c r="N145" s="420">
        <f t="shared" si="107"/>
        <v>61447281.543777406</v>
      </c>
      <c r="O145" s="420">
        <f t="shared" si="107"/>
        <v>62810752.582587063</v>
      </c>
      <c r="P145" s="420">
        <f t="shared" si="107"/>
        <v>64194540.667398214</v>
      </c>
      <c r="Q145" s="420">
        <f t="shared" si="107"/>
        <v>65598909.182349086</v>
      </c>
      <c r="R145" s="420">
        <f t="shared" si="107"/>
        <v>67024124.693867266</v>
      </c>
      <c r="S145" s="420">
        <f t="shared" si="107"/>
        <v>68470456.987545252</v>
      </c>
      <c r="T145" s="420">
        <f t="shared" si="107"/>
        <v>69938179.105431795</v>
      </c>
      <c r="U145" s="420">
        <f t="shared" si="107"/>
        <v>71427567.383744538</v>
      </c>
      <c r="V145" s="420">
        <f t="shared" si="107"/>
        <v>72938901.491006017</v>
      </c>
      <c r="W145" s="420">
        <f t="shared" si="107"/>
        <v>74472464.466610968</v>
      </c>
      <c r="X145" s="420">
        <f t="shared" ref="X145:Z145" si="108">X37-X4</f>
        <v>76028542.759827971</v>
      </c>
      <c r="Y145" s="420">
        <f t="shared" si="108"/>
        <v>77607426.26924026</v>
      </c>
      <c r="Z145" s="420">
        <f t="shared" si="108"/>
        <v>79209408.382630169</v>
      </c>
    </row>
    <row r="146" spans="2:26" x14ac:dyDescent="0.3">
      <c r="B146" s="282" t="s">
        <v>562</v>
      </c>
      <c r="C146" s="421"/>
      <c r="D146" s="420"/>
      <c r="E146" s="420"/>
      <c r="F146" s="420">
        <f t="shared" ref="F146:W146" si="109">F38-F5</f>
        <v>28169217.165762067</v>
      </c>
      <c r="G146" s="420">
        <f t="shared" si="109"/>
        <v>28592509.505792588</v>
      </c>
      <c r="H146" s="420">
        <f t="shared" si="109"/>
        <v>29017230.200192779</v>
      </c>
      <c r="I146" s="420">
        <f t="shared" si="109"/>
        <v>29443383.365020901</v>
      </c>
      <c r="J146" s="420">
        <f t="shared" si="109"/>
        <v>29870973.127749264</v>
      </c>
      <c r="K146" s="420">
        <f t="shared" si="109"/>
        <v>30300003.627295315</v>
      </c>
      <c r="L146" s="420">
        <f t="shared" si="109"/>
        <v>30730479.014053375</v>
      </c>
      <c r="M146" s="420">
        <f t="shared" si="109"/>
        <v>31162403.449925929</v>
      </c>
      <c r="N146" s="420">
        <f t="shared" si="109"/>
        <v>31595781.108355105</v>
      </c>
      <c r="O146" s="420">
        <f t="shared" si="109"/>
        <v>32030616.174354613</v>
      </c>
      <c r="P146" s="420">
        <f t="shared" si="109"/>
        <v>32466912.844541311</v>
      </c>
      <c r="Q146" s="420">
        <f t="shared" si="109"/>
        <v>32904675.327167094</v>
      </c>
      <c r="R146" s="420">
        <f t="shared" si="109"/>
        <v>33343907.842150807</v>
      </c>
      <c r="S146" s="420">
        <f t="shared" si="109"/>
        <v>33784614.621109992</v>
      </c>
      <c r="T146" s="420">
        <f t="shared" si="109"/>
        <v>34226799.907393783</v>
      </c>
      <c r="U146" s="420">
        <f t="shared" si="109"/>
        <v>34670467.956114084</v>
      </c>
      <c r="V146" s="420">
        <f t="shared" si="109"/>
        <v>35115623.034178436</v>
      </c>
      <c r="W146" s="420">
        <f t="shared" si="109"/>
        <v>35562269.420322388</v>
      </c>
      <c r="X146" s="420">
        <f t="shared" ref="X146:Z146" si="110">X38-X5</f>
        <v>36010411.405141741</v>
      </c>
      <c r="Y146" s="420">
        <f t="shared" si="110"/>
        <v>36460053.291125029</v>
      </c>
      <c r="Z146" s="420">
        <f t="shared" si="110"/>
        <v>36911199.392686546</v>
      </c>
    </row>
    <row r="147" spans="2:26" x14ac:dyDescent="0.3">
      <c r="B147" s="282" t="s">
        <v>563</v>
      </c>
      <c r="C147" s="421"/>
      <c r="D147" s="420"/>
      <c r="E147" s="420"/>
      <c r="F147" s="420">
        <f t="shared" ref="F147:W147" si="111">F39-F6</f>
        <v>16874225.846509323</v>
      </c>
      <c r="G147" s="420">
        <f t="shared" si="111"/>
        <v>17271145.848180085</v>
      </c>
      <c r="H147" s="420">
        <f t="shared" si="111"/>
        <v>17674022.109234422</v>
      </c>
      <c r="I147" s="420">
        <f t="shared" si="111"/>
        <v>18082931.648884937</v>
      </c>
      <c r="J147" s="420">
        <f t="shared" si="111"/>
        <v>18497952.411402181</v>
      </c>
      <c r="K147" s="420">
        <f t="shared" si="111"/>
        <v>18919163.276754141</v>
      </c>
      <c r="L147" s="420">
        <f t="shared" si="111"/>
        <v>19346644.07136406</v>
      </c>
      <c r="M147" s="420">
        <f t="shared" si="111"/>
        <v>19780475.578989133</v>
      </c>
      <c r="N147" s="420">
        <f t="shared" si="111"/>
        <v>20220739.551720724</v>
      </c>
      <c r="O147" s="420">
        <f t="shared" si="111"/>
        <v>20667518.721107334</v>
      </c>
      <c r="P147" s="420">
        <f t="shared" si="111"/>
        <v>21120896.809401765</v>
      </c>
      <c r="Q147" s="420">
        <f t="shared" si="111"/>
        <v>21580958.540934458</v>
      </c>
      <c r="R147" s="420">
        <f t="shared" si="111"/>
        <v>22047789.653613418</v>
      </c>
      <c r="S147" s="420">
        <f t="shared" si="111"/>
        <v>22521476.910552531</v>
      </c>
      <c r="T147" s="420">
        <f t="shared" si="111"/>
        <v>23002108.11183013</v>
      </c>
      <c r="U147" s="420">
        <f t="shared" si="111"/>
        <v>23489772.106378257</v>
      </c>
      <c r="V147" s="420">
        <f t="shared" si="111"/>
        <v>23984558.804005235</v>
      </c>
      <c r="W147" s="420">
        <f t="shared" si="111"/>
        <v>24486559.18755196</v>
      </c>
      <c r="X147" s="420">
        <f t="shared" ref="X147:Z147" si="112">X39-X6</f>
        <v>24995865.325183898</v>
      </c>
      <c r="Y147" s="420">
        <f t="shared" si="112"/>
        <v>25512570.382820174</v>
      </c>
      <c r="Z147" s="420">
        <f t="shared" si="112"/>
        <v>26036768.636701316</v>
      </c>
    </row>
    <row r="148" spans="2:26" x14ac:dyDescent="0.3">
      <c r="B148" s="282" t="s">
        <v>564</v>
      </c>
      <c r="C148" s="421"/>
      <c r="D148" s="420"/>
      <c r="E148" s="420"/>
      <c r="F148" s="420">
        <f t="shared" ref="F148:W148" si="113">F40-F7</f>
        <v>-4195491.3216014355</v>
      </c>
      <c r="G148" s="420">
        <f t="shared" si="113"/>
        <v>-3533370.8822616115</v>
      </c>
      <c r="H148" s="420">
        <f t="shared" si="113"/>
        <v>-2851414.4591918364</v>
      </c>
      <c r="I148" s="420">
        <f t="shared" si="113"/>
        <v>-2149143.8079778105</v>
      </c>
      <c r="J148" s="420">
        <f t="shared" si="113"/>
        <v>-1426069.7239675596</v>
      </c>
      <c r="K148" s="420">
        <f t="shared" si="113"/>
        <v>-681691.79457117617</v>
      </c>
      <c r="L148" s="420">
        <f t="shared" si="113"/>
        <v>84501.854015059769</v>
      </c>
      <c r="M148" s="420">
        <f t="shared" si="113"/>
        <v>873034.81578569859</v>
      </c>
      <c r="N148" s="420">
        <f t="shared" si="113"/>
        <v>1684442.6697321311</v>
      </c>
      <c r="O148" s="420">
        <f t="shared" si="113"/>
        <v>2519273.2506088242</v>
      </c>
      <c r="P148" s="420">
        <f t="shared" si="113"/>
        <v>3378086.9257939979</v>
      </c>
      <c r="Q148" s="420">
        <f t="shared" si="113"/>
        <v>4261456.8783812448</v>
      </c>
      <c r="R148" s="420">
        <f t="shared" si="113"/>
        <v>5169969.3966426849</v>
      </c>
      <c r="S148" s="420">
        <f t="shared" si="113"/>
        <v>6104224.1700065136</v>
      </c>
      <c r="T148" s="420">
        <f t="shared" si="113"/>
        <v>7064834.5916959047</v>
      </c>
      <c r="U148" s="420">
        <f t="shared" si="113"/>
        <v>8052428.0681783408</v>
      </c>
      <c r="V148" s="420">
        <f t="shared" si="113"/>
        <v>9067646.3355790675</v>
      </c>
      <c r="W148" s="420">
        <f t="shared" si="113"/>
        <v>10111145.783214927</v>
      </c>
      <c r="X148" s="420">
        <f t="shared" ref="X148:Z148" si="114">X40-X7</f>
        <v>11183597.784408897</v>
      </c>
      <c r="Y148" s="420">
        <f t="shared" si="114"/>
        <v>12285689.034748659</v>
      </c>
      <c r="Z148" s="420">
        <f t="shared" si="114"/>
        <v>13418121.8979569</v>
      </c>
    </row>
    <row r="149" spans="2:26" x14ac:dyDescent="0.3">
      <c r="B149" s="282" t="s">
        <v>464</v>
      </c>
      <c r="C149" s="419"/>
      <c r="D149" s="420"/>
      <c r="E149" s="420"/>
      <c r="F149" s="420">
        <f t="shared" ref="F149:W149" si="115">F41-F8</f>
        <v>92088294.131561756</v>
      </c>
      <c r="G149" s="420">
        <f t="shared" si="115"/>
        <v>94780673.384979129</v>
      </c>
      <c r="H149" s="420">
        <f t="shared" si="115"/>
        <v>97518593.479789972</v>
      </c>
      <c r="I149" s="420">
        <f t="shared" si="115"/>
        <v>100302853.00060236</v>
      </c>
      <c r="J149" s="420">
        <f t="shared" si="115"/>
        <v>103134265.33045244</v>
      </c>
      <c r="K149" s="420">
        <f t="shared" si="115"/>
        <v>106013658.94288576</v>
      </c>
      <c r="L149" s="420">
        <f t="shared" si="115"/>
        <v>108941877.70010936</v>
      </c>
      <c r="M149" s="420">
        <f t="shared" si="115"/>
        <v>111919781.15735674</v>
      </c>
      <c r="N149" s="420">
        <f t="shared" si="115"/>
        <v>114948244.87358534</v>
      </c>
      <c r="O149" s="420">
        <f t="shared" si="115"/>
        <v>118028160.72865796</v>
      </c>
      <c r="P149" s="420">
        <f t="shared" si="115"/>
        <v>121160437.24713528</v>
      </c>
      <c r="Q149" s="420">
        <f t="shared" si="115"/>
        <v>124345999.92883205</v>
      </c>
      <c r="R149" s="420">
        <f t="shared" si="115"/>
        <v>127585791.58627415</v>
      </c>
      <c r="S149" s="420">
        <f t="shared" si="115"/>
        <v>130880772.68921435</v>
      </c>
      <c r="T149" s="420">
        <f t="shared" si="115"/>
        <v>134231921.71635151</v>
      </c>
      <c r="U149" s="420">
        <f t="shared" si="115"/>
        <v>137640235.51441526</v>
      </c>
      <c r="V149" s="420">
        <f t="shared" si="115"/>
        <v>141106729.66476858</v>
      </c>
      <c r="W149" s="420">
        <f t="shared" si="115"/>
        <v>144632438.85770023</v>
      </c>
      <c r="X149" s="420">
        <f t="shared" ref="X149:Z149" si="116">X41-X8</f>
        <v>148218417.2745626</v>
      </c>
      <c r="Y149" s="420">
        <f t="shared" si="116"/>
        <v>151865738.97793412</v>
      </c>
      <c r="Z149" s="420">
        <f t="shared" si="116"/>
        <v>155575498.30997491</v>
      </c>
    </row>
    <row r="150" spans="2:26" x14ac:dyDescent="0.3">
      <c r="W150" s="420"/>
      <c r="X150" s="420"/>
      <c r="Y150" s="420"/>
      <c r="Z150" s="420"/>
    </row>
    <row r="151" spans="2:26" ht="21.6" thickBot="1" x14ac:dyDescent="0.35">
      <c r="C151" s="1919" t="s">
        <v>480</v>
      </c>
      <c r="D151" s="1919"/>
      <c r="E151" s="1919"/>
      <c r="F151" s="1919"/>
      <c r="G151" s="1919"/>
      <c r="H151" s="1919"/>
      <c r="I151" s="1919"/>
      <c r="J151" s="1919"/>
      <c r="K151" s="1919"/>
      <c r="L151" s="1919"/>
      <c r="M151" s="1919"/>
      <c r="N151" s="1919"/>
      <c r="O151" s="1919"/>
      <c r="P151" s="1919"/>
      <c r="Q151" s="1919"/>
      <c r="R151" s="1919"/>
      <c r="S151" s="1919"/>
      <c r="T151" s="1919"/>
      <c r="U151" s="1919"/>
      <c r="V151" s="1919"/>
      <c r="W151" s="1919"/>
      <c r="X151" s="1427"/>
      <c r="Y151" s="1427"/>
      <c r="Z151" s="1427"/>
    </row>
    <row r="152" spans="2:26" ht="15" thickBot="1" x14ac:dyDescent="0.35">
      <c r="C152" s="417">
        <v>2020</v>
      </c>
      <c r="D152" s="417">
        <f>C152+1</f>
        <v>2021</v>
      </c>
      <c r="E152" s="417">
        <f t="shared" ref="E152:W152" si="117">D152+1</f>
        <v>2022</v>
      </c>
      <c r="F152" s="417">
        <f t="shared" si="117"/>
        <v>2023</v>
      </c>
      <c r="G152" s="417">
        <f t="shared" si="117"/>
        <v>2024</v>
      </c>
      <c r="H152" s="417">
        <f t="shared" si="117"/>
        <v>2025</v>
      </c>
      <c r="I152" s="417">
        <f t="shared" si="117"/>
        <v>2026</v>
      </c>
      <c r="J152" s="417">
        <f t="shared" si="117"/>
        <v>2027</v>
      </c>
      <c r="K152" s="417">
        <f t="shared" si="117"/>
        <v>2028</v>
      </c>
      <c r="L152" s="417">
        <f t="shared" si="117"/>
        <v>2029</v>
      </c>
      <c r="M152" s="417">
        <f t="shared" si="117"/>
        <v>2030</v>
      </c>
      <c r="N152" s="417">
        <f t="shared" si="117"/>
        <v>2031</v>
      </c>
      <c r="O152" s="417">
        <f t="shared" si="117"/>
        <v>2032</v>
      </c>
      <c r="P152" s="417">
        <f t="shared" si="117"/>
        <v>2033</v>
      </c>
      <c r="Q152" s="417">
        <f t="shared" si="117"/>
        <v>2034</v>
      </c>
      <c r="R152" s="417">
        <f t="shared" si="117"/>
        <v>2035</v>
      </c>
      <c r="S152" s="417">
        <f t="shared" si="117"/>
        <v>2036</v>
      </c>
      <c r="T152" s="417">
        <f t="shared" si="117"/>
        <v>2037</v>
      </c>
      <c r="U152" s="417">
        <f t="shared" si="117"/>
        <v>2038</v>
      </c>
      <c r="V152" s="417">
        <f t="shared" si="117"/>
        <v>2039</v>
      </c>
      <c r="W152" s="417">
        <f t="shared" si="117"/>
        <v>2040</v>
      </c>
      <c r="X152" s="417">
        <f t="shared" ref="X152:Z152" si="118">W152+1</f>
        <v>2041</v>
      </c>
      <c r="Y152" s="417">
        <f t="shared" si="118"/>
        <v>2042</v>
      </c>
      <c r="Z152" s="417">
        <f t="shared" si="118"/>
        <v>2043</v>
      </c>
    </row>
    <row r="153" spans="2:26" x14ac:dyDescent="0.3">
      <c r="B153" s="282" t="s">
        <v>565</v>
      </c>
      <c r="C153" s="421"/>
      <c r="D153" s="420"/>
      <c r="E153" s="420"/>
      <c r="F153" s="420">
        <f t="shared" ref="F153:W153" si="119">F45-F12</f>
        <v>14733.862838136032</v>
      </c>
      <c r="G153" s="420">
        <f t="shared" si="119"/>
        <v>-127631.62181678973</v>
      </c>
      <c r="H153" s="420">
        <f t="shared" si="119"/>
        <v>-279169.111906996</v>
      </c>
      <c r="I153" s="420">
        <f t="shared" si="119"/>
        <v>-440331.47711537965</v>
      </c>
      <c r="J153" s="420">
        <f t="shared" si="119"/>
        <v>-611591.88378502801</v>
      </c>
      <c r="K153" s="420">
        <f t="shared" si="119"/>
        <v>-793444.66431008466</v>
      </c>
      <c r="L153" s="420">
        <f t="shared" si="119"/>
        <v>-986406.22290092334</v>
      </c>
      <c r="M153" s="420">
        <f t="shared" si="119"/>
        <v>-1191015.9792260639</v>
      </c>
      <c r="N153" s="420">
        <f t="shared" si="119"/>
        <v>-1407837.3514948282</v>
      </c>
      <c r="O153" s="420">
        <f t="shared" si="119"/>
        <v>-1637458.7806088589</v>
      </c>
      <c r="P153" s="420">
        <f t="shared" si="119"/>
        <v>-1880494.7970774099</v>
      </c>
      <c r="Q153" s="420">
        <f t="shared" si="119"/>
        <v>-2137587.1324606873</v>
      </c>
      <c r="R153" s="420">
        <f t="shared" si="119"/>
        <v>-2409405.8771779649</v>
      </c>
      <c r="S153" s="420">
        <f t="shared" si="119"/>
        <v>-2696650.6865922622</v>
      </c>
      <c r="T153" s="420">
        <f t="shared" si="119"/>
        <v>-3000052.0373619385</v>
      </c>
      <c r="U153" s="420">
        <f t="shared" si="119"/>
        <v>-3320372.5361308064</v>
      </c>
      <c r="V153" s="420">
        <f t="shared" si="119"/>
        <v>-3658408.2827134766</v>
      </c>
      <c r="W153" s="420">
        <f t="shared" si="119"/>
        <v>-4014990.2900207415</v>
      </c>
      <c r="X153" s="420">
        <f t="shared" ref="X153:Z153" si="120">X45-X12</f>
        <v>-4390985.963061884</v>
      </c>
      <c r="Y153" s="420">
        <f t="shared" si="120"/>
        <v>-4787300.6394563522</v>
      </c>
      <c r="Z153" s="420">
        <f t="shared" si="120"/>
        <v>-5204879.193986902</v>
      </c>
    </row>
    <row r="154" spans="2:26" x14ac:dyDescent="0.3">
      <c r="B154" s="282" t="s">
        <v>566</v>
      </c>
      <c r="C154" s="421"/>
      <c r="D154" s="420"/>
      <c r="E154" s="420"/>
      <c r="F154" s="420">
        <f t="shared" ref="F154:W154" si="121">F46-F13</f>
        <v>10137.694319739006</v>
      </c>
      <c r="G154" s="420">
        <f t="shared" si="121"/>
        <v>-66579.889801890589</v>
      </c>
      <c r="H154" s="420">
        <f t="shared" si="121"/>
        <v>-147034.89057881664</v>
      </c>
      <c r="I154" s="420">
        <f t="shared" si="121"/>
        <v>-231369.13122295681</v>
      </c>
      <c r="J154" s="420">
        <f t="shared" si="121"/>
        <v>-319729.38597418088</v>
      </c>
      <c r="K154" s="420">
        <f t="shared" si="121"/>
        <v>-412267.54702288285</v>
      </c>
      <c r="L154" s="420">
        <f t="shared" si="121"/>
        <v>-509140.7969719246</v>
      </c>
      <c r="M154" s="420">
        <f t="shared" si="121"/>
        <v>-610511.78702044021</v>
      </c>
      <c r="N154" s="420">
        <f t="shared" si="121"/>
        <v>-716548.82105794176</v>
      </c>
      <c r="O154" s="420">
        <f t="shared" si="121"/>
        <v>-827426.04586334433</v>
      </c>
      <c r="P154" s="420">
        <f t="shared" si="121"/>
        <v>-943323.64760995936</v>
      </c>
      <c r="Q154" s="420">
        <f t="shared" si="121"/>
        <v>-1064428.0548840491</v>
      </c>
      <c r="R154" s="420">
        <f t="shared" si="121"/>
        <v>-1190932.1484313905</v>
      </c>
      <c r="S154" s="420">
        <f t="shared" si="121"/>
        <v>-1323035.4778532991</v>
      </c>
      <c r="T154" s="420">
        <f t="shared" si="121"/>
        <v>-1460944.4854808701</v>
      </c>
      <c r="U154" s="420">
        <f t="shared" si="121"/>
        <v>-1604872.7376636323</v>
      </c>
      <c r="V154" s="420">
        <f t="shared" si="121"/>
        <v>-1755041.1637166664</v>
      </c>
      <c r="W154" s="420">
        <f t="shared" si="121"/>
        <v>-1911678.3027781146</v>
      </c>
      <c r="X154" s="420">
        <f t="shared" ref="X154:Z154" si="122">X46-X13</f>
        <v>-2075020.5588373719</v>
      </c>
      <c r="Y154" s="420">
        <f t="shared" si="122"/>
        <v>-2245312.4642027747</v>
      </c>
      <c r="Z154" s="420">
        <f t="shared" si="122"/>
        <v>-2422806.9516863432</v>
      </c>
    </row>
    <row r="155" spans="2:26" x14ac:dyDescent="0.3">
      <c r="B155" s="282" t="s">
        <v>567</v>
      </c>
      <c r="C155" s="421"/>
      <c r="D155" s="420"/>
      <c r="E155" s="420"/>
      <c r="F155" s="420">
        <f t="shared" ref="F155:W155" si="123">F47-F14</f>
        <v>4904.3695540069602</v>
      </c>
      <c r="G155" s="420">
        <f t="shared" si="123"/>
        <v>-41945.117717082147</v>
      </c>
      <c r="H155" s="420">
        <f t="shared" si="123"/>
        <v>-91803.430027747527</v>
      </c>
      <c r="I155" s="420">
        <f t="shared" si="123"/>
        <v>-144818.68056783453</v>
      </c>
      <c r="J155" s="420">
        <f t="shared" si="123"/>
        <v>-201145.60139224026</v>
      </c>
      <c r="K155" s="420">
        <f t="shared" si="123"/>
        <v>-260945.82613979839</v>
      </c>
      <c r="L155" s="420">
        <f t="shared" si="123"/>
        <v>-324388.18454855308</v>
      </c>
      <c r="M155" s="420">
        <f t="shared" si="123"/>
        <v>-391649.00925337477</v>
      </c>
      <c r="N155" s="420">
        <f t="shared" si="123"/>
        <v>-462912.45537170488</v>
      </c>
      <c r="O155" s="420">
        <f t="shared" si="123"/>
        <v>-538370.8334039445</v>
      </c>
      <c r="P155" s="420">
        <f t="shared" si="123"/>
        <v>-618224.95599650126</v>
      </c>
      <c r="Q155" s="420">
        <f t="shared" si="123"/>
        <v>-702684.49913791893</v>
      </c>
      <c r="R155" s="420">
        <f t="shared" si="123"/>
        <v>-791968.37838181946</v>
      </c>
      <c r="S155" s="420">
        <f t="shared" si="123"/>
        <v>-886305.14071467379</v>
      </c>
      <c r="T155" s="420">
        <f t="shared" si="123"/>
        <v>-985933.37271164497</v>
      </c>
      <c r="U155" s="420">
        <f t="shared" si="123"/>
        <v>-1091102.1256500338</v>
      </c>
      <c r="V155" s="420">
        <f t="shared" si="123"/>
        <v>-1202071.3582772282</v>
      </c>
      <c r="W155" s="420">
        <f t="shared" si="123"/>
        <v>-1319112.3979584635</v>
      </c>
      <c r="X155" s="420">
        <f t="shared" ref="X155:Z155" si="124">X47-X14</f>
        <v>-1442508.4209594075</v>
      </c>
      <c r="Y155" s="420">
        <f t="shared" si="124"/>
        <v>-1572554.952649327</v>
      </c>
      <c r="Z155" s="420">
        <f t="shared" si="124"/>
        <v>-1709560.3884427249</v>
      </c>
    </row>
    <row r="156" spans="2:26" x14ac:dyDescent="0.3">
      <c r="B156" s="282" t="s">
        <v>568</v>
      </c>
      <c r="C156" s="421"/>
      <c r="D156" s="420"/>
      <c r="E156" s="420"/>
      <c r="F156" s="420">
        <f t="shared" ref="F156:W156" si="125">F48-F15</f>
        <v>-266359.14996458811</v>
      </c>
      <c r="G156" s="420">
        <f t="shared" si="125"/>
        <v>-283759.39367492602</v>
      </c>
      <c r="H156" s="420">
        <f t="shared" si="125"/>
        <v>-302080.17668184976</v>
      </c>
      <c r="I156" s="420">
        <f t="shared" si="125"/>
        <v>-321365.80036678398</v>
      </c>
      <c r="J156" s="420">
        <f t="shared" si="125"/>
        <v>-341662.5876058538</v>
      </c>
      <c r="K156" s="420">
        <f t="shared" si="125"/>
        <v>-363018.97195855202</v>
      </c>
      <c r="L156" s="420">
        <f t="shared" si="125"/>
        <v>-385485.59070247691</v>
      </c>
      <c r="M156" s="420">
        <f t="shared" si="125"/>
        <v>-409115.38187730848</v>
      </c>
      <c r="N156" s="420">
        <f t="shared" si="125"/>
        <v>-433963.68550804886</v>
      </c>
      <c r="O156" s="420">
        <f t="shared" si="125"/>
        <v>-460088.34918464511</v>
      </c>
      <c r="P156" s="420">
        <f t="shared" si="125"/>
        <v>-487549.83818257484</v>
      </c>
      <c r="Q156" s="420">
        <f t="shared" si="125"/>
        <v>-516411.35031666118</v>
      </c>
      <c r="R156" s="420">
        <f t="shared" si="125"/>
        <v>-546738.93572846893</v>
      </c>
      <c r="S156" s="420">
        <f t="shared" si="125"/>
        <v>-578601.62181598344</v>
      </c>
      <c r="T156" s="420">
        <f t="shared" si="125"/>
        <v>-612071.54352304013</v>
      </c>
      <c r="U156" s="420">
        <f t="shared" si="125"/>
        <v>-647224.07921502786</v>
      </c>
      <c r="V156" s="420">
        <f t="shared" si="125"/>
        <v>-684137.99237689609</v>
      </c>
      <c r="W156" s="420">
        <f t="shared" si="125"/>
        <v>-722895.57937932201</v>
      </c>
      <c r="X156" s="420">
        <f t="shared" ref="X156:Z156" si="126">X48-X15</f>
        <v>-763582.82356920373</v>
      </c>
      <c r="Y156" s="420">
        <f t="shared" si="126"/>
        <v>-806289.55595130241</v>
      </c>
      <c r="Z156" s="420">
        <f t="shared" si="126"/>
        <v>-851109.62273902493</v>
      </c>
    </row>
    <row r="157" spans="2:26" x14ac:dyDescent="0.3">
      <c r="B157" s="282" t="s">
        <v>465</v>
      </c>
      <c r="C157" s="421"/>
      <c r="D157" s="420"/>
      <c r="E157" s="420"/>
      <c r="F157" s="420">
        <f t="shared" ref="F157:W157" si="127">F49-F16</f>
        <v>-236583.22325270623</v>
      </c>
      <c r="G157" s="420">
        <f t="shared" si="127"/>
        <v>-519916.02301069349</v>
      </c>
      <c r="H157" s="420">
        <f t="shared" si="127"/>
        <v>-820087.60919541493</v>
      </c>
      <c r="I157" s="420">
        <f t="shared" si="127"/>
        <v>-1137885.0892729498</v>
      </c>
      <c r="J157" s="420">
        <f t="shared" si="127"/>
        <v>-1474129.4587572999</v>
      </c>
      <c r="K157" s="420">
        <f t="shared" si="127"/>
        <v>-1829677.0094313174</v>
      </c>
      <c r="L157" s="420">
        <f t="shared" si="127"/>
        <v>-2205420.7951238789</v>
      </c>
      <c r="M157" s="420">
        <f t="shared" si="127"/>
        <v>-2602292.1573771909</v>
      </c>
      <c r="N157" s="420">
        <f t="shared" si="127"/>
        <v>-3021262.3134325258</v>
      </c>
      <c r="O157" s="420">
        <f t="shared" si="127"/>
        <v>-3463344.0090607964</v>
      </c>
      <c r="P157" s="420">
        <f t="shared" si="127"/>
        <v>-3929593.2388664447</v>
      </c>
      <c r="Q157" s="420">
        <f t="shared" si="127"/>
        <v>-4421111.0367993191</v>
      </c>
      <c r="R157" s="420">
        <f t="shared" si="127"/>
        <v>-4939045.339719642</v>
      </c>
      <c r="S157" s="420">
        <f t="shared" si="127"/>
        <v>-5484592.9269762188</v>
      </c>
      <c r="T157" s="420">
        <f t="shared" si="127"/>
        <v>-6059001.4390774965</v>
      </c>
      <c r="U157" s="420">
        <f t="shared" si="127"/>
        <v>-6663571.4786594994</v>
      </c>
      <c r="V157" s="420">
        <f t="shared" si="127"/>
        <v>-7299658.7970842682</v>
      </c>
      <c r="W157" s="420">
        <f t="shared" si="127"/>
        <v>-7968676.5701366365</v>
      </c>
      <c r="X157" s="420">
        <f t="shared" ref="X157:Z157" si="128">X49-X16</f>
        <v>-8672097.7664278634</v>
      </c>
      <c r="Y157" s="420">
        <f t="shared" si="128"/>
        <v>-9411457.612259753</v>
      </c>
      <c r="Z157" s="420">
        <f t="shared" si="128"/>
        <v>-10188356.156854998</v>
      </c>
    </row>
  </sheetData>
  <mergeCells count="15">
    <mergeCell ref="C143:W143"/>
    <mergeCell ref="C151:W151"/>
    <mergeCell ref="C83:W83"/>
    <mergeCell ref="C91:W91"/>
    <mergeCell ref="C75:W75"/>
    <mergeCell ref="AC2:AW2"/>
    <mergeCell ref="C35:W35"/>
    <mergeCell ref="C10:W10"/>
    <mergeCell ref="C43:W43"/>
    <mergeCell ref="C27:W27"/>
    <mergeCell ref="C67:W67"/>
    <mergeCell ref="C18:W18"/>
    <mergeCell ref="C59:W59"/>
    <mergeCell ref="C51:W51"/>
    <mergeCell ref="C2:W2"/>
  </mergeCells>
  <pageMargins left="0.7" right="0.2" top="0.25" bottom="0.25" header="0" footer="0"/>
  <pageSetup scale="8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249977111117893"/>
    <pageSetUpPr fitToPage="1"/>
  </sheetPr>
  <dimension ref="A2:AV159"/>
  <sheetViews>
    <sheetView topLeftCell="A142" zoomScale="85" zoomScaleNormal="85" workbookViewId="0">
      <selection activeCell="E26" sqref="E26"/>
    </sheetView>
  </sheetViews>
  <sheetFormatPr defaultColWidth="9.109375" defaultRowHeight="13.2" x14ac:dyDescent="0.3"/>
  <cols>
    <col min="1" max="1" width="5.44140625" style="41" customWidth="1"/>
    <col min="2" max="2" width="54.33203125" style="1" customWidth="1"/>
    <col min="3" max="3" width="19" style="1" customWidth="1"/>
    <col min="4" max="4" width="17.33203125" style="1" customWidth="1"/>
    <col min="5" max="5" width="20.33203125" style="1" customWidth="1"/>
    <col min="6" max="6" width="32.5546875" style="130" customWidth="1"/>
    <col min="7" max="7" width="53.6640625" style="41" customWidth="1"/>
    <col min="8" max="8" width="39.88671875" style="41" customWidth="1"/>
    <col min="9" max="10" width="34" style="1" customWidth="1"/>
    <col min="11" max="11" width="9.109375" style="1" customWidth="1"/>
    <col min="12" max="16384" width="9.109375" style="1"/>
  </cols>
  <sheetData>
    <row r="2" spans="1:11" ht="26.25" x14ac:dyDescent="0.25">
      <c r="B2" s="899" t="s">
        <v>709</v>
      </c>
      <c r="C2" s="40"/>
      <c r="D2" s="40"/>
    </row>
    <row r="3" spans="1:11" ht="13.5" thickBot="1" x14ac:dyDescent="0.3">
      <c r="B3" s="40"/>
      <c r="C3" s="40"/>
      <c r="D3" s="40"/>
    </row>
    <row r="4" spans="1:11" ht="16.5" thickBot="1" x14ac:dyDescent="0.3">
      <c r="A4" s="21"/>
      <c r="B4" s="139" t="s">
        <v>0</v>
      </c>
      <c r="C4" s="140" t="s">
        <v>15</v>
      </c>
      <c r="D4" s="140" t="s">
        <v>144</v>
      </c>
      <c r="E4" s="140" t="s">
        <v>558</v>
      </c>
      <c r="F4" s="140" t="s">
        <v>1</v>
      </c>
      <c r="G4" s="141" t="s">
        <v>3</v>
      </c>
      <c r="H4" s="142" t="s">
        <v>6</v>
      </c>
    </row>
    <row r="5" spans="1:11" s="18" customFormat="1" ht="13.5" thickBot="1" x14ac:dyDescent="0.3">
      <c r="A5" s="21"/>
      <c r="D5" s="62"/>
      <c r="F5" s="167"/>
    </row>
    <row r="6" spans="1:11" ht="16.5" thickBot="1" x14ac:dyDescent="0.3">
      <c r="B6" s="7" t="s">
        <v>18</v>
      </c>
      <c r="C6" s="8"/>
      <c r="D6" s="8"/>
      <c r="E6" s="8"/>
      <c r="F6" s="168"/>
      <c r="G6" s="63"/>
      <c r="H6" s="64"/>
      <c r="K6" s="65"/>
    </row>
    <row r="7" spans="1:11" ht="12.75" x14ac:dyDescent="0.25">
      <c r="B7" s="10"/>
      <c r="C7" s="9"/>
      <c r="D7" s="9"/>
      <c r="E7" s="9"/>
      <c r="F7" s="169"/>
      <c r="G7" s="66"/>
      <c r="H7" s="67"/>
      <c r="K7" s="65"/>
    </row>
    <row r="8" spans="1:11" ht="57" customHeight="1" x14ac:dyDescent="0.2">
      <c r="B8" s="10" t="s">
        <v>19</v>
      </c>
      <c r="C8" s="45">
        <v>0.03</v>
      </c>
      <c r="D8" s="11"/>
      <c r="E8" s="11"/>
      <c r="F8" s="170"/>
      <c r="G8" s="47" t="s">
        <v>690</v>
      </c>
      <c r="H8" s="48" t="s">
        <v>451</v>
      </c>
      <c r="I8" s="895"/>
      <c r="K8" s="65"/>
    </row>
    <row r="9" spans="1:11" ht="40.5" customHeight="1" x14ac:dyDescent="0.25">
      <c r="B9" s="10" t="s">
        <v>20</v>
      </c>
      <c r="C9" s="45">
        <v>7.0000000000000007E-2</v>
      </c>
      <c r="D9" s="11"/>
      <c r="E9" s="11"/>
      <c r="F9" s="170"/>
      <c r="G9" s="47" t="s">
        <v>690</v>
      </c>
      <c r="H9" s="48" t="s">
        <v>451</v>
      </c>
      <c r="K9" s="65"/>
    </row>
    <row r="10" spans="1:11" ht="13.5" thickBot="1" x14ac:dyDescent="0.3">
      <c r="B10" s="33"/>
      <c r="C10" s="68"/>
      <c r="D10" s="12"/>
      <c r="E10" s="12"/>
      <c r="F10" s="113"/>
      <c r="G10" s="51"/>
      <c r="H10" s="69"/>
      <c r="K10" s="65"/>
    </row>
    <row r="11" spans="1:11" s="18" customFormat="1" ht="13.5" thickBot="1" x14ac:dyDescent="0.3">
      <c r="A11" s="21"/>
      <c r="D11" s="62"/>
      <c r="F11" s="167"/>
    </row>
    <row r="12" spans="1:11" ht="16.5" thickBot="1" x14ac:dyDescent="0.3">
      <c r="B12" s="135" t="s">
        <v>9</v>
      </c>
      <c r="C12" s="70"/>
      <c r="D12" s="70"/>
      <c r="E12" s="70"/>
      <c r="F12" s="171"/>
      <c r="G12" s="71"/>
      <c r="H12" s="72"/>
      <c r="K12" s="65"/>
    </row>
    <row r="13" spans="1:11" ht="12.75" x14ac:dyDescent="0.25">
      <c r="B13" s="26"/>
      <c r="C13" s="27"/>
      <c r="D13" s="27"/>
      <c r="E13" s="27"/>
      <c r="F13" s="172"/>
      <c r="G13" s="73"/>
      <c r="H13" s="74"/>
      <c r="K13" s="65"/>
    </row>
    <row r="14" spans="1:11" ht="12.75" x14ac:dyDescent="0.25">
      <c r="B14" s="296" t="s">
        <v>262</v>
      </c>
      <c r="C14" s="75"/>
      <c r="D14" s="76"/>
      <c r="E14" s="75"/>
      <c r="F14" s="173"/>
      <c r="G14" s="29"/>
      <c r="H14" s="57"/>
      <c r="K14" s="65"/>
    </row>
    <row r="15" spans="1:11" ht="38.25" x14ac:dyDescent="0.25">
      <c r="B15" s="295" t="s">
        <v>265</v>
      </c>
      <c r="C15" s="210">
        <v>1E-3</v>
      </c>
      <c r="D15" s="76">
        <v>2000</v>
      </c>
      <c r="E15" s="192">
        <f>C15*'CPI Factors'!J33/'CPI Factors'!J17</f>
        <v>1.3938493926341766E-3</v>
      </c>
      <c r="F15" s="173" t="s">
        <v>13</v>
      </c>
      <c r="G15" s="29" t="s">
        <v>263</v>
      </c>
      <c r="H15" s="57" t="s">
        <v>14</v>
      </c>
      <c r="K15" s="65"/>
    </row>
    <row r="16" spans="1:11" ht="38.25" x14ac:dyDescent="0.25">
      <c r="B16" s="295" t="s">
        <v>266</v>
      </c>
      <c r="C16" s="210">
        <f>'Pavement.Marginal.Cost '!C21</f>
        <v>0.18149999999999999</v>
      </c>
      <c r="D16" s="76">
        <v>2000</v>
      </c>
      <c r="E16" s="192">
        <f>C16*'CPI Factors'!J33/'CPI Factors'!J17</f>
        <v>0.25298366476310308</v>
      </c>
      <c r="F16" s="173" t="s">
        <v>13</v>
      </c>
      <c r="G16" s="29" t="s">
        <v>263</v>
      </c>
      <c r="H16" s="57" t="s">
        <v>14</v>
      </c>
      <c r="K16" s="65"/>
    </row>
    <row r="17" spans="1:11" ht="12.75" x14ac:dyDescent="0.25">
      <c r="B17" s="295"/>
      <c r="C17" s="75"/>
      <c r="D17" s="76"/>
      <c r="E17" s="192"/>
      <c r="F17" s="173"/>
      <c r="G17" s="29"/>
      <c r="H17" s="57"/>
      <c r="K17" s="65"/>
    </row>
    <row r="18" spans="1:11" ht="13.5" thickBot="1" x14ac:dyDescent="0.3">
      <c r="B18" s="77"/>
      <c r="C18" s="725"/>
      <c r="D18" s="79"/>
      <c r="E18" s="725"/>
      <c r="F18" s="174"/>
      <c r="G18" s="59"/>
      <c r="H18" s="60"/>
      <c r="K18" s="65"/>
    </row>
    <row r="19" spans="1:11" s="18" customFormat="1" ht="13.5" thickBot="1" x14ac:dyDescent="0.3">
      <c r="A19" s="21"/>
      <c r="D19" s="62"/>
      <c r="F19" s="167"/>
    </row>
    <row r="20" spans="1:11" ht="16.5" thickBot="1" x14ac:dyDescent="0.3">
      <c r="B20" s="136" t="s">
        <v>12</v>
      </c>
      <c r="C20" s="80"/>
      <c r="D20" s="81"/>
      <c r="E20" s="82"/>
      <c r="F20" s="175"/>
      <c r="G20" s="83"/>
      <c r="H20" s="84"/>
      <c r="K20" s="65"/>
    </row>
    <row r="21" spans="1:11" ht="12.75" x14ac:dyDescent="0.25">
      <c r="B21" s="111"/>
      <c r="C21" s="23"/>
      <c r="D21" s="85"/>
      <c r="E21" s="86"/>
      <c r="F21" s="112"/>
      <c r="G21" s="87"/>
      <c r="H21" s="88"/>
      <c r="K21" s="65"/>
    </row>
    <row r="22" spans="1:11" ht="15" x14ac:dyDescent="0.25">
      <c r="B22" s="165" t="s">
        <v>92</v>
      </c>
      <c r="C22" s="31"/>
      <c r="D22" s="89"/>
      <c r="E22" s="31"/>
      <c r="F22" s="170"/>
      <c r="G22" s="47"/>
      <c r="H22" s="48"/>
    </row>
    <row r="23" spans="1:11" ht="12.75" x14ac:dyDescent="0.25">
      <c r="B23" s="13" t="s">
        <v>74</v>
      </c>
      <c r="C23" s="145"/>
      <c r="D23" s="146"/>
      <c r="E23" s="145"/>
      <c r="F23" s="170"/>
      <c r="G23" s="47"/>
      <c r="H23" s="48"/>
    </row>
    <row r="24" spans="1:11" ht="17.100000000000001" customHeight="1" x14ac:dyDescent="0.3">
      <c r="B24" s="144" t="s">
        <v>71</v>
      </c>
      <c r="C24" s="194">
        <v>10.35</v>
      </c>
      <c r="D24" s="89">
        <v>2016</v>
      </c>
      <c r="E24" s="194">
        <f>C24</f>
        <v>10.35</v>
      </c>
      <c r="F24" s="170" t="s">
        <v>8</v>
      </c>
      <c r="G24" s="1748" t="s">
        <v>691</v>
      </c>
      <c r="H24" s="1754" t="s">
        <v>692</v>
      </c>
    </row>
    <row r="25" spans="1:11" ht="24.75" customHeight="1" x14ac:dyDescent="0.3">
      <c r="B25" s="144" t="s">
        <v>72</v>
      </c>
      <c r="C25" s="194">
        <v>20.7</v>
      </c>
      <c r="D25" s="89">
        <v>2016</v>
      </c>
      <c r="E25" s="194">
        <f t="shared" ref="E25:E26" si="0">C25</f>
        <v>20.7</v>
      </c>
      <c r="F25" s="170" t="s">
        <v>8</v>
      </c>
      <c r="G25" s="1748"/>
      <c r="H25" s="1754"/>
    </row>
    <row r="26" spans="1:11" ht="16.5" customHeight="1" x14ac:dyDescent="0.3">
      <c r="B26" s="144" t="s">
        <v>73</v>
      </c>
      <c r="C26" s="194">
        <v>10.35</v>
      </c>
      <c r="D26" s="89">
        <v>2016</v>
      </c>
      <c r="E26" s="194">
        <f t="shared" si="0"/>
        <v>10.35</v>
      </c>
      <c r="F26" s="170" t="s">
        <v>8</v>
      </c>
      <c r="G26" s="1748"/>
      <c r="H26" s="1754"/>
    </row>
    <row r="27" spans="1:11" ht="17.100000000000001" customHeight="1" x14ac:dyDescent="0.25">
      <c r="B27" s="13" t="s">
        <v>75</v>
      </c>
      <c r="C27" s="194"/>
      <c r="D27" s="89">
        <v>2016</v>
      </c>
      <c r="E27" s="194"/>
      <c r="F27" s="170"/>
      <c r="G27" s="47"/>
      <c r="H27" s="48"/>
    </row>
    <row r="28" spans="1:11" ht="17.100000000000001" customHeight="1" x14ac:dyDescent="0.3">
      <c r="B28" s="144" t="s">
        <v>71</v>
      </c>
      <c r="C28" s="194"/>
      <c r="D28" s="89">
        <v>2016</v>
      </c>
      <c r="E28" s="194"/>
      <c r="F28" s="170" t="s">
        <v>8</v>
      </c>
      <c r="G28" s="1748" t="s">
        <v>691</v>
      </c>
      <c r="H28" s="1754" t="s">
        <v>692</v>
      </c>
    </row>
    <row r="29" spans="1:11" ht="24" customHeight="1" x14ac:dyDescent="0.3">
      <c r="B29" s="144" t="s">
        <v>72</v>
      </c>
      <c r="C29" s="194"/>
      <c r="D29" s="89">
        <v>2016</v>
      </c>
      <c r="E29" s="194"/>
      <c r="F29" s="170" t="s">
        <v>8</v>
      </c>
      <c r="G29" s="1748"/>
      <c r="H29" s="1754"/>
    </row>
    <row r="30" spans="1:11" ht="17.100000000000001" customHeight="1" x14ac:dyDescent="0.3">
      <c r="B30" s="144" t="s">
        <v>73</v>
      </c>
      <c r="C30" s="194"/>
      <c r="D30" s="89">
        <v>2016</v>
      </c>
      <c r="E30" s="194"/>
      <c r="F30" s="170" t="s">
        <v>8</v>
      </c>
      <c r="G30" s="1748"/>
      <c r="H30" s="1754"/>
    </row>
    <row r="31" spans="1:11" ht="17.100000000000001" customHeight="1" x14ac:dyDescent="0.25">
      <c r="B31" s="344"/>
      <c r="C31" s="31"/>
      <c r="D31" s="89">
        <v>2016</v>
      </c>
      <c r="E31" s="31"/>
      <c r="F31" s="170"/>
      <c r="G31" s="47"/>
      <c r="H31" s="48"/>
    </row>
    <row r="32" spans="1:11" ht="51.75" customHeight="1" x14ac:dyDescent="0.25">
      <c r="B32" s="13" t="s">
        <v>16</v>
      </c>
      <c r="C32" s="194">
        <v>17.510000000000002</v>
      </c>
      <c r="D32" s="89">
        <v>2016</v>
      </c>
      <c r="E32" s="194">
        <f>C32</f>
        <v>17.510000000000002</v>
      </c>
      <c r="F32" s="170" t="s">
        <v>8</v>
      </c>
      <c r="G32" s="47" t="s">
        <v>691</v>
      </c>
      <c r="H32" s="48" t="s">
        <v>692</v>
      </c>
    </row>
    <row r="33" spans="1:8" ht="13.5" thickBot="1" x14ac:dyDescent="0.3">
      <c r="B33" s="185"/>
      <c r="C33" s="186"/>
      <c r="D33" s="187"/>
      <c r="E33" s="188"/>
      <c r="F33" s="189"/>
      <c r="G33" s="51"/>
      <c r="H33" s="69"/>
    </row>
    <row r="34" spans="1:8" ht="13.5" thickBot="1" x14ac:dyDescent="0.3">
      <c r="B34" s="345"/>
      <c r="C34" s="346"/>
      <c r="D34" s="347"/>
      <c r="E34" s="348"/>
      <c r="F34" s="349"/>
      <c r="G34" s="724"/>
      <c r="H34" s="349"/>
    </row>
    <row r="35" spans="1:8" ht="16.5" thickBot="1" x14ac:dyDescent="0.3">
      <c r="B35" s="350" t="s">
        <v>267</v>
      </c>
      <c r="C35" s="351"/>
      <c r="D35" s="352"/>
      <c r="E35" s="353"/>
      <c r="F35" s="354"/>
      <c r="G35" s="355"/>
      <c r="H35" s="356"/>
    </row>
    <row r="36" spans="1:8" ht="12.75" x14ac:dyDescent="0.25">
      <c r="B36" s="357"/>
      <c r="C36" s="114"/>
      <c r="D36" s="358"/>
      <c r="E36" s="359"/>
      <c r="F36" s="360"/>
      <c r="G36" s="361"/>
      <c r="H36" s="362"/>
    </row>
    <row r="37" spans="1:8" ht="40.5" customHeight="1" x14ac:dyDescent="0.25">
      <c r="B37" s="363" t="s">
        <v>1018</v>
      </c>
      <c r="C37" s="707"/>
      <c r="D37" s="364">
        <v>2016</v>
      </c>
      <c r="E37" s="790">
        <v>0.4</v>
      </c>
      <c r="F37" s="365" t="s">
        <v>13</v>
      </c>
      <c r="G37" s="373" t="s">
        <v>690</v>
      </c>
      <c r="H37" s="366" t="s">
        <v>451</v>
      </c>
    </row>
    <row r="38" spans="1:8" ht="38.25" customHeight="1" x14ac:dyDescent="0.25">
      <c r="B38" s="363" t="s">
        <v>1019</v>
      </c>
      <c r="C38" s="708"/>
      <c r="D38" s="364">
        <v>2016</v>
      </c>
      <c r="E38" s="790">
        <v>0.96</v>
      </c>
      <c r="F38" s="365" t="s">
        <v>13</v>
      </c>
      <c r="G38" s="373" t="s">
        <v>690</v>
      </c>
      <c r="H38" s="366" t="s">
        <v>451</v>
      </c>
    </row>
    <row r="39" spans="1:8" ht="39" customHeight="1" x14ac:dyDescent="0.25">
      <c r="B39" s="363" t="s">
        <v>608</v>
      </c>
      <c r="C39" s="708"/>
      <c r="D39" s="364">
        <v>2016</v>
      </c>
      <c r="E39" s="790">
        <f>E37-0.091</f>
        <v>0.30900000000000005</v>
      </c>
      <c r="F39" s="365"/>
      <c r="G39" s="373" t="s">
        <v>1020</v>
      </c>
      <c r="H39" s="366" t="s">
        <v>233</v>
      </c>
    </row>
    <row r="40" spans="1:8" ht="43.5" customHeight="1" thickBot="1" x14ac:dyDescent="0.3">
      <c r="B40" s="1711" t="s">
        <v>609</v>
      </c>
      <c r="C40" s="708"/>
      <c r="D40" s="364">
        <v>2016</v>
      </c>
      <c r="E40" s="790">
        <v>0.45</v>
      </c>
      <c r="F40" s="365"/>
      <c r="G40" s="373" t="s">
        <v>457</v>
      </c>
      <c r="H40" s="366" t="s">
        <v>458</v>
      </c>
    </row>
    <row r="41" spans="1:8" ht="13.5" thickBot="1" x14ac:dyDescent="0.3">
      <c r="B41" s="367"/>
      <c r="C41" s="368"/>
      <c r="D41" s="369"/>
      <c r="E41" s="368"/>
      <c r="F41" s="370"/>
      <c r="G41" s="371"/>
      <c r="H41" s="372"/>
    </row>
    <row r="42" spans="1:8" s="18" customFormat="1" ht="13.5" thickBot="1" x14ac:dyDescent="0.3">
      <c r="A42" s="21"/>
      <c r="D42" s="62"/>
      <c r="F42" s="167"/>
    </row>
    <row r="43" spans="1:8" ht="16.2" thickBot="1" x14ac:dyDescent="0.35">
      <c r="B43" s="134" t="s">
        <v>27</v>
      </c>
      <c r="C43" s="25"/>
      <c r="D43" s="91"/>
      <c r="E43" s="25"/>
      <c r="F43" s="176"/>
      <c r="G43" s="92"/>
      <c r="H43" s="93"/>
    </row>
    <row r="44" spans="1:8" x14ac:dyDescent="0.3">
      <c r="B44" s="228"/>
      <c r="C44" s="27"/>
      <c r="D44" s="229"/>
      <c r="E44" s="27"/>
      <c r="F44" s="172"/>
      <c r="G44" s="73"/>
      <c r="H44" s="74"/>
    </row>
    <row r="45" spans="1:8" ht="26.4" x14ac:dyDescent="0.3">
      <c r="B45" s="17" t="s">
        <v>48</v>
      </c>
      <c r="C45" s="94">
        <v>21.4</v>
      </c>
      <c r="D45" s="76">
        <v>2014</v>
      </c>
      <c r="E45" s="94"/>
      <c r="F45" s="173" t="s">
        <v>4</v>
      </c>
      <c r="G45" s="29" t="s">
        <v>95</v>
      </c>
      <c r="H45" s="57" t="s">
        <v>94</v>
      </c>
    </row>
    <row r="46" spans="1:8" ht="26.4" x14ac:dyDescent="0.3">
      <c r="B46" s="17" t="s">
        <v>49</v>
      </c>
      <c r="C46" s="94">
        <v>6.3</v>
      </c>
      <c r="D46" s="76">
        <v>2014</v>
      </c>
      <c r="E46" s="94"/>
      <c r="F46" s="173" t="s">
        <v>4</v>
      </c>
      <c r="G46" s="29" t="s">
        <v>95</v>
      </c>
      <c r="H46" s="57" t="s">
        <v>94</v>
      </c>
    </row>
    <row r="47" spans="1:8" x14ac:dyDescent="0.3">
      <c r="B47" s="17"/>
      <c r="C47" s="37"/>
      <c r="D47" s="76"/>
      <c r="E47" s="38"/>
      <c r="F47" s="173"/>
      <c r="G47" s="29"/>
      <c r="H47" s="57"/>
    </row>
    <row r="48" spans="1:8" x14ac:dyDescent="0.3">
      <c r="B48" s="17" t="s">
        <v>50</v>
      </c>
      <c r="C48" s="94">
        <v>0.33</v>
      </c>
      <c r="D48" s="76"/>
      <c r="E48" s="28"/>
      <c r="F48" s="173" t="s">
        <v>54</v>
      </c>
      <c r="G48" s="29" t="s">
        <v>57</v>
      </c>
      <c r="H48" s="57"/>
    </row>
    <row r="49" spans="2:8" x14ac:dyDescent="0.3">
      <c r="B49" s="17"/>
      <c r="C49" s="94"/>
      <c r="D49" s="76"/>
      <c r="E49" s="28"/>
      <c r="F49" s="173"/>
      <c r="G49" s="29"/>
      <c r="H49" s="57"/>
    </row>
    <row r="50" spans="2:8" ht="27.75" customHeight="1" x14ac:dyDescent="0.25">
      <c r="B50" s="17" t="s">
        <v>51</v>
      </c>
      <c r="C50" s="94">
        <v>0.8</v>
      </c>
      <c r="D50" s="76"/>
      <c r="E50" s="28"/>
      <c r="F50" s="173" t="s">
        <v>54</v>
      </c>
      <c r="G50" s="29" t="s">
        <v>55</v>
      </c>
      <c r="H50" s="225" t="s">
        <v>56</v>
      </c>
    </row>
    <row r="51" spans="2:8" x14ac:dyDescent="0.3">
      <c r="B51" s="17"/>
      <c r="C51" s="94"/>
      <c r="D51" s="76"/>
      <c r="E51" s="28"/>
      <c r="F51" s="173"/>
      <c r="G51" s="29"/>
      <c r="H51" s="57"/>
    </row>
    <row r="52" spans="2:8" ht="13.8" x14ac:dyDescent="0.3">
      <c r="B52" s="602" t="s">
        <v>121</v>
      </c>
      <c r="C52" s="94"/>
      <c r="D52" s="76"/>
      <c r="E52" s="28"/>
      <c r="F52" s="173"/>
      <c r="G52" s="29"/>
      <c r="H52" s="57"/>
    </row>
    <row r="53" spans="2:8" ht="18" customHeight="1" x14ac:dyDescent="0.3">
      <c r="B53" s="190" t="s">
        <v>62</v>
      </c>
      <c r="C53" s="192">
        <f>'EmissRates(EPA)'!C16</f>
        <v>2.7047500000000002</v>
      </c>
      <c r="D53" s="76">
        <v>2008</v>
      </c>
      <c r="E53" s="28"/>
      <c r="F53" s="173" t="s">
        <v>54</v>
      </c>
      <c r="G53" s="1752" t="s">
        <v>119</v>
      </c>
      <c r="H53" s="1751" t="s">
        <v>120</v>
      </c>
    </row>
    <row r="54" spans="2:8" ht="18" customHeight="1" x14ac:dyDescent="0.3">
      <c r="B54" s="190" t="s">
        <v>33</v>
      </c>
      <c r="C54" s="192">
        <f>'EmissRates(EPA)'!C18</f>
        <v>39.205249999999999</v>
      </c>
      <c r="D54" s="76">
        <v>2008</v>
      </c>
      <c r="E54" s="28"/>
      <c r="F54" s="173" t="s">
        <v>54</v>
      </c>
      <c r="G54" s="1752"/>
      <c r="H54" s="1751"/>
    </row>
    <row r="55" spans="2:8" ht="18" customHeight="1" x14ac:dyDescent="0.3">
      <c r="B55" s="190" t="s">
        <v>61</v>
      </c>
      <c r="C55" s="192">
        <f>'EmissRates(EPA)'!C19</f>
        <v>3.4937499999999999</v>
      </c>
      <c r="D55" s="76">
        <v>2008</v>
      </c>
      <c r="E55" s="28"/>
      <c r="F55" s="173" t="s">
        <v>54</v>
      </c>
      <c r="G55" s="1752"/>
      <c r="H55" s="1751"/>
    </row>
    <row r="56" spans="2:8" ht="18" customHeight="1" x14ac:dyDescent="0.3">
      <c r="B56" s="190" t="s">
        <v>135</v>
      </c>
      <c r="C56" s="191" t="s">
        <v>93</v>
      </c>
      <c r="D56" s="76">
        <v>2008</v>
      </c>
      <c r="E56" s="28"/>
      <c r="F56" s="173" t="s">
        <v>93</v>
      </c>
      <c r="G56" s="1752"/>
      <c r="H56" s="1751"/>
    </row>
    <row r="57" spans="2:8" ht="18" customHeight="1" x14ac:dyDescent="0.3">
      <c r="B57" s="17"/>
      <c r="C57" s="94"/>
      <c r="D57" s="76"/>
      <c r="E57" s="28"/>
      <c r="F57" s="173"/>
      <c r="G57" s="29"/>
      <c r="H57" s="57"/>
    </row>
    <row r="58" spans="2:8" ht="18" customHeight="1" x14ac:dyDescent="0.3">
      <c r="B58" s="602" t="s">
        <v>122</v>
      </c>
      <c r="C58" s="94"/>
      <c r="D58" s="76"/>
      <c r="E58" s="28"/>
      <c r="F58" s="173"/>
      <c r="G58" s="29"/>
      <c r="H58" s="57"/>
    </row>
    <row r="59" spans="2:8" ht="18" customHeight="1" x14ac:dyDescent="0.3">
      <c r="B59" s="190" t="s">
        <v>62</v>
      </c>
      <c r="C59" s="192">
        <f>'EmissRates(EPA)'!D16</f>
        <v>4.9749999999999996</v>
      </c>
      <c r="D59" s="76">
        <v>2008</v>
      </c>
      <c r="E59" s="28"/>
      <c r="F59" s="173" t="s">
        <v>54</v>
      </c>
      <c r="G59" s="1752" t="s">
        <v>119</v>
      </c>
      <c r="H59" s="1751" t="s">
        <v>120</v>
      </c>
    </row>
    <row r="60" spans="2:8" ht="18" customHeight="1" x14ac:dyDescent="0.3">
      <c r="B60" s="190" t="s">
        <v>33</v>
      </c>
      <c r="C60" s="192">
        <f>'EmissRates(EPA)'!D18</f>
        <v>88.76400000000001</v>
      </c>
      <c r="D60" s="76">
        <v>2008</v>
      </c>
      <c r="E60" s="28"/>
      <c r="F60" s="173" t="s">
        <v>54</v>
      </c>
      <c r="G60" s="1752"/>
      <c r="H60" s="1751"/>
    </row>
    <row r="61" spans="2:8" ht="18" customHeight="1" x14ac:dyDescent="0.3">
      <c r="B61" s="190" t="s">
        <v>61</v>
      </c>
      <c r="C61" s="192">
        <f>'EmissRates(EPA)'!D19</f>
        <v>19.546499999999998</v>
      </c>
      <c r="D61" s="76">
        <v>2008</v>
      </c>
      <c r="E61" s="28"/>
      <c r="F61" s="173" t="s">
        <v>54</v>
      </c>
      <c r="G61" s="1752"/>
      <c r="H61" s="1751"/>
    </row>
    <row r="62" spans="2:8" ht="18" customHeight="1" x14ac:dyDescent="0.3">
      <c r="B62" s="190" t="s">
        <v>60</v>
      </c>
      <c r="C62" s="193">
        <f>SUM('EmissRates(EPA)'!D20:D21)</f>
        <v>2.2960000000000003</v>
      </c>
      <c r="D62" s="76">
        <v>2008</v>
      </c>
      <c r="E62" s="28"/>
      <c r="F62" s="173" t="s">
        <v>54</v>
      </c>
      <c r="G62" s="1752"/>
      <c r="H62" s="1751"/>
    </row>
    <row r="63" spans="2:8" ht="18" customHeight="1" x14ac:dyDescent="0.3">
      <c r="B63" s="17"/>
      <c r="C63" s="94"/>
      <c r="D63" s="76"/>
      <c r="E63" s="28"/>
      <c r="F63" s="173"/>
      <c r="G63" s="29"/>
      <c r="H63" s="57"/>
    </row>
    <row r="64" spans="2:8" ht="18" customHeight="1" x14ac:dyDescent="0.3">
      <c r="B64" s="602" t="s">
        <v>141</v>
      </c>
      <c r="C64" s="94"/>
      <c r="D64" s="76"/>
      <c r="E64" s="28"/>
      <c r="F64" s="173"/>
      <c r="G64" s="29"/>
      <c r="H64" s="57"/>
    </row>
    <row r="65" spans="1:11" ht="18" customHeight="1" x14ac:dyDescent="0.3">
      <c r="B65" s="190" t="s">
        <v>62</v>
      </c>
      <c r="C65" s="192">
        <f>'EmissRates(EPA)'!E26</f>
        <v>1.129</v>
      </c>
      <c r="D65" s="76">
        <v>2008</v>
      </c>
      <c r="E65" s="28"/>
      <c r="F65" s="173" t="s">
        <v>59</v>
      </c>
      <c r="G65" s="1752" t="s">
        <v>136</v>
      </c>
      <c r="H65" s="1751" t="s">
        <v>133</v>
      </c>
    </row>
    <row r="66" spans="1:11" ht="18" customHeight="1" x14ac:dyDescent="0.3">
      <c r="B66" s="190" t="s">
        <v>33</v>
      </c>
      <c r="C66" s="192">
        <f>'EmissRates(EPA)'!E28</f>
        <v>10.620000000000001</v>
      </c>
      <c r="D66" s="76">
        <v>2008</v>
      </c>
      <c r="E66" s="28"/>
      <c r="F66" s="173" t="s">
        <v>59</v>
      </c>
      <c r="G66" s="1752"/>
      <c r="H66" s="1751"/>
    </row>
    <row r="67" spans="1:11" ht="18" customHeight="1" x14ac:dyDescent="0.3">
      <c r="B67" s="190" t="s">
        <v>61</v>
      </c>
      <c r="C67" s="210">
        <f>'EmissRates(EPA)'!E29</f>
        <v>0.8214999999999999</v>
      </c>
      <c r="D67" s="76">
        <v>2008</v>
      </c>
      <c r="E67" s="28"/>
      <c r="F67" s="173" t="s">
        <v>59</v>
      </c>
      <c r="G67" s="1752"/>
      <c r="H67" s="1751"/>
    </row>
    <row r="68" spans="1:11" ht="18" customHeight="1" x14ac:dyDescent="0.3">
      <c r="B68" s="190" t="s">
        <v>135</v>
      </c>
      <c r="C68" s="210">
        <f>SUM('EmissRates(EPA)'!E30:E31)</f>
        <v>8.9499999999999996E-3</v>
      </c>
      <c r="D68" s="76">
        <v>2008</v>
      </c>
      <c r="E68" s="28"/>
      <c r="F68" s="173" t="s">
        <v>59</v>
      </c>
      <c r="G68" s="1752"/>
      <c r="H68" s="1751"/>
    </row>
    <row r="69" spans="1:11" x14ac:dyDescent="0.3">
      <c r="B69" s="17"/>
      <c r="C69" s="94"/>
      <c r="D69" s="76"/>
      <c r="E69" s="28"/>
      <c r="F69" s="173"/>
      <c r="G69" s="29"/>
      <c r="H69" s="57"/>
    </row>
    <row r="70" spans="1:11" ht="18" customHeight="1" x14ac:dyDescent="0.3">
      <c r="B70" s="602" t="s">
        <v>142</v>
      </c>
      <c r="C70" s="193"/>
      <c r="D70" s="76"/>
      <c r="E70" s="28"/>
      <c r="F70" s="173"/>
      <c r="G70" s="894"/>
      <c r="H70" s="893"/>
    </row>
    <row r="71" spans="1:11" ht="18" customHeight="1" x14ac:dyDescent="0.25">
      <c r="B71" s="190" t="s">
        <v>62</v>
      </c>
      <c r="C71" s="193">
        <f>'EmissRates(EPA)'!J26</f>
        <v>1.0165</v>
      </c>
      <c r="D71" s="76">
        <v>2008</v>
      </c>
      <c r="E71" s="28"/>
      <c r="F71" s="173" t="s">
        <v>59</v>
      </c>
      <c r="G71" s="1752" t="s">
        <v>139</v>
      </c>
      <c r="H71" s="1751" t="s">
        <v>134</v>
      </c>
      <c r="I71" s="896"/>
      <c r="J71" s="896"/>
      <c r="K71" s="896"/>
    </row>
    <row r="72" spans="1:11" ht="18" customHeight="1" x14ac:dyDescent="0.3">
      <c r="B72" s="190" t="s">
        <v>33</v>
      </c>
      <c r="C72" s="193">
        <f>'EmissRates(EPA)'!J28</f>
        <v>7.7205000000000004</v>
      </c>
      <c r="D72" s="76">
        <v>2008</v>
      </c>
      <c r="E72" s="28"/>
      <c r="F72" s="173" t="s">
        <v>59</v>
      </c>
      <c r="G72" s="1752"/>
      <c r="H72" s="1751"/>
    </row>
    <row r="73" spans="1:11" ht="18" customHeight="1" x14ac:dyDescent="0.3">
      <c r="B73" s="190" t="s">
        <v>61</v>
      </c>
      <c r="C73" s="193">
        <f>'EmissRates(EPA)'!J29</f>
        <v>5.7634999999999996</v>
      </c>
      <c r="D73" s="76">
        <v>2008</v>
      </c>
      <c r="E73" s="28"/>
      <c r="F73" s="173" t="s">
        <v>59</v>
      </c>
      <c r="G73" s="1752"/>
      <c r="H73" s="1751"/>
    </row>
    <row r="74" spans="1:11" ht="18" customHeight="1" x14ac:dyDescent="0.3">
      <c r="B74" s="190" t="s">
        <v>135</v>
      </c>
      <c r="C74" s="193">
        <f>SUM('EmissRates(EPA)'!J30:J31)</f>
        <v>0.25800000000000001</v>
      </c>
      <c r="D74" s="76">
        <v>2008</v>
      </c>
      <c r="E74" s="28"/>
      <c r="F74" s="173" t="s">
        <v>59</v>
      </c>
      <c r="G74" s="1752"/>
      <c r="H74" s="893"/>
    </row>
    <row r="75" spans="1:11" ht="18" customHeight="1" x14ac:dyDescent="0.3">
      <c r="B75" s="602" t="s">
        <v>143</v>
      </c>
      <c r="C75" s="193"/>
      <c r="D75" s="76"/>
      <c r="E75" s="28"/>
      <c r="F75" s="173"/>
      <c r="G75" s="894"/>
      <c r="H75" s="893"/>
    </row>
    <row r="76" spans="1:11" s="18" customFormat="1" ht="117.75" customHeight="1" x14ac:dyDescent="0.3">
      <c r="A76" s="41"/>
      <c r="B76" s="56" t="s">
        <v>21</v>
      </c>
      <c r="C76" s="226"/>
      <c r="D76" s="95">
        <v>2016</v>
      </c>
      <c r="E76" s="791">
        <v>1872</v>
      </c>
      <c r="F76" s="177" t="s">
        <v>147</v>
      </c>
      <c r="G76" s="227" t="s">
        <v>693</v>
      </c>
      <c r="H76" s="893" t="s">
        <v>694</v>
      </c>
    </row>
    <row r="77" spans="1:11" s="18" customFormat="1" ht="127.5" customHeight="1" x14ac:dyDescent="0.3">
      <c r="A77" s="41"/>
      <c r="B77" s="56" t="s">
        <v>22</v>
      </c>
      <c r="C77" s="226"/>
      <c r="D77" s="95">
        <v>2016</v>
      </c>
      <c r="E77" s="791">
        <v>7377</v>
      </c>
      <c r="F77" s="177" t="s">
        <v>147</v>
      </c>
      <c r="G77" s="227" t="s">
        <v>693</v>
      </c>
      <c r="H77" s="893" t="s">
        <v>694</v>
      </c>
    </row>
    <row r="78" spans="1:11" s="18" customFormat="1" ht="120" customHeight="1" x14ac:dyDescent="0.3">
      <c r="A78" s="41"/>
      <c r="B78" s="56" t="s">
        <v>23</v>
      </c>
      <c r="C78" s="226"/>
      <c r="D78" s="95">
        <v>2016</v>
      </c>
      <c r="E78" s="791">
        <v>337459</v>
      </c>
      <c r="F78" s="177" t="s">
        <v>147</v>
      </c>
      <c r="G78" s="227" t="s">
        <v>693</v>
      </c>
      <c r="H78" s="893" t="s">
        <v>694</v>
      </c>
    </row>
    <row r="79" spans="1:11" s="18" customFormat="1" ht="79.2" x14ac:dyDescent="0.3">
      <c r="A79" s="41"/>
      <c r="B79" s="56" t="s">
        <v>24</v>
      </c>
      <c r="C79" s="226"/>
      <c r="D79" s="95">
        <v>2016</v>
      </c>
      <c r="E79" s="791">
        <v>43600</v>
      </c>
      <c r="F79" s="177" t="s">
        <v>147</v>
      </c>
      <c r="G79" s="227" t="s">
        <v>693</v>
      </c>
      <c r="H79" s="893" t="s">
        <v>694</v>
      </c>
    </row>
    <row r="80" spans="1:11" s="18" customFormat="1" x14ac:dyDescent="0.3">
      <c r="A80" s="41"/>
      <c r="B80" s="56"/>
      <c r="C80" s="226"/>
      <c r="D80" s="95"/>
      <c r="E80" s="226"/>
      <c r="F80" s="177"/>
      <c r="G80" s="227"/>
      <c r="H80" s="893"/>
    </row>
    <row r="81" spans="1:8" s="18" customFormat="1" ht="12.75" customHeight="1" x14ac:dyDescent="0.3">
      <c r="A81" s="41"/>
      <c r="B81" s="56" t="s">
        <v>145</v>
      </c>
      <c r="C81" s="226">
        <v>41</v>
      </c>
      <c r="D81" s="95">
        <v>2015</v>
      </c>
      <c r="E81" s="791">
        <f>C81</f>
        <v>41</v>
      </c>
      <c r="F81" s="177" t="s">
        <v>146</v>
      </c>
      <c r="G81" s="1750" t="s">
        <v>954</v>
      </c>
      <c r="H81" s="1751" t="s">
        <v>695</v>
      </c>
    </row>
    <row r="82" spans="1:8" s="18" customFormat="1" ht="12.75" customHeight="1" x14ac:dyDescent="0.3">
      <c r="A82" s="41"/>
      <c r="B82" s="56"/>
      <c r="C82" s="226">
        <v>43</v>
      </c>
      <c r="D82" s="95">
        <f t="shared" ref="D82:D116" si="1">D81+1</f>
        <v>2016</v>
      </c>
      <c r="E82" s="791">
        <f t="shared" ref="E82:E116" si="2">C82</f>
        <v>43</v>
      </c>
      <c r="F82" s="177" t="s">
        <v>146</v>
      </c>
      <c r="G82" s="1750"/>
      <c r="H82" s="1751"/>
    </row>
    <row r="83" spans="1:8" s="18" customFormat="1" ht="12.75" customHeight="1" x14ac:dyDescent="0.3">
      <c r="A83" s="41"/>
      <c r="B83" s="56"/>
      <c r="C83" s="226">
        <v>44</v>
      </c>
      <c r="D83" s="95">
        <f t="shared" si="1"/>
        <v>2017</v>
      </c>
      <c r="E83" s="791">
        <f t="shared" si="2"/>
        <v>44</v>
      </c>
      <c r="F83" s="177" t="s">
        <v>146</v>
      </c>
      <c r="G83" s="1750"/>
      <c r="H83" s="1751"/>
    </row>
    <row r="84" spans="1:8" s="18" customFormat="1" ht="12.75" customHeight="1" x14ac:dyDescent="0.3">
      <c r="A84" s="41"/>
      <c r="B84" s="56"/>
      <c r="C84" s="226">
        <v>45</v>
      </c>
      <c r="D84" s="95">
        <f t="shared" si="1"/>
        <v>2018</v>
      </c>
      <c r="E84" s="791">
        <f t="shared" si="2"/>
        <v>45</v>
      </c>
      <c r="F84" s="177" t="s">
        <v>146</v>
      </c>
      <c r="G84" s="1750"/>
      <c r="H84" s="1751"/>
    </row>
    <row r="85" spans="1:8" s="18" customFormat="1" ht="12.75" customHeight="1" x14ac:dyDescent="0.3">
      <c r="A85" s="41"/>
      <c r="B85" s="56"/>
      <c r="C85" s="226">
        <v>46</v>
      </c>
      <c r="D85" s="95">
        <f t="shared" si="1"/>
        <v>2019</v>
      </c>
      <c r="E85" s="791">
        <f t="shared" si="2"/>
        <v>46</v>
      </c>
      <c r="F85" s="177" t="s">
        <v>146</v>
      </c>
      <c r="G85" s="1750"/>
      <c r="H85" s="1751"/>
    </row>
    <row r="86" spans="1:8" s="18" customFormat="1" ht="12.75" customHeight="1" x14ac:dyDescent="0.3">
      <c r="A86" s="41"/>
      <c r="B86" s="56"/>
      <c r="C86" s="226">
        <v>47</v>
      </c>
      <c r="D86" s="95">
        <f t="shared" si="1"/>
        <v>2020</v>
      </c>
      <c r="E86" s="791">
        <f t="shared" si="2"/>
        <v>47</v>
      </c>
      <c r="F86" s="177" t="s">
        <v>146</v>
      </c>
      <c r="G86" s="1750"/>
      <c r="H86" s="1751"/>
    </row>
    <row r="87" spans="1:8" s="18" customFormat="1" ht="12.75" customHeight="1" x14ac:dyDescent="0.3">
      <c r="A87" s="41"/>
      <c r="B87" s="56"/>
      <c r="C87" s="226">
        <v>47</v>
      </c>
      <c r="D87" s="95">
        <f t="shared" si="1"/>
        <v>2021</v>
      </c>
      <c r="E87" s="791">
        <f t="shared" si="2"/>
        <v>47</v>
      </c>
      <c r="F87" s="177" t="s">
        <v>146</v>
      </c>
      <c r="G87" s="1750"/>
      <c r="H87" s="893"/>
    </row>
    <row r="88" spans="1:8" s="18" customFormat="1" x14ac:dyDescent="0.3">
      <c r="A88" s="41"/>
      <c r="B88" s="56"/>
      <c r="C88" s="226">
        <v>49</v>
      </c>
      <c r="D88" s="95">
        <f t="shared" si="1"/>
        <v>2022</v>
      </c>
      <c r="E88" s="791">
        <f t="shared" si="2"/>
        <v>49</v>
      </c>
      <c r="F88" s="177" t="s">
        <v>146</v>
      </c>
      <c r="G88" s="1750"/>
      <c r="H88" s="893"/>
    </row>
    <row r="89" spans="1:8" s="18" customFormat="1" x14ac:dyDescent="0.3">
      <c r="A89" s="41"/>
      <c r="B89" s="56"/>
      <c r="C89" s="226">
        <v>50</v>
      </c>
      <c r="D89" s="95">
        <f t="shared" si="1"/>
        <v>2023</v>
      </c>
      <c r="E89" s="791">
        <f t="shared" si="2"/>
        <v>50</v>
      </c>
      <c r="F89" s="177" t="s">
        <v>146</v>
      </c>
      <c r="G89" s="1750"/>
      <c r="H89" s="893"/>
    </row>
    <row r="90" spans="1:8" s="18" customFormat="1" x14ac:dyDescent="0.3">
      <c r="A90" s="41"/>
      <c r="B90" s="56"/>
      <c r="C90" s="226">
        <v>51</v>
      </c>
      <c r="D90" s="95">
        <f t="shared" si="1"/>
        <v>2024</v>
      </c>
      <c r="E90" s="791">
        <f t="shared" si="2"/>
        <v>51</v>
      </c>
      <c r="F90" s="177" t="s">
        <v>146</v>
      </c>
      <c r="G90" s="227"/>
      <c r="H90" s="893"/>
    </row>
    <row r="91" spans="1:8" s="18" customFormat="1" x14ac:dyDescent="0.3">
      <c r="A91" s="41"/>
      <c r="B91" s="56"/>
      <c r="C91" s="226">
        <v>52</v>
      </c>
      <c r="D91" s="95">
        <f t="shared" si="1"/>
        <v>2025</v>
      </c>
      <c r="E91" s="791">
        <f t="shared" si="2"/>
        <v>52</v>
      </c>
      <c r="F91" s="177" t="s">
        <v>146</v>
      </c>
      <c r="G91" s="227"/>
      <c r="H91" s="893"/>
    </row>
    <row r="92" spans="1:8" s="18" customFormat="1" x14ac:dyDescent="0.3">
      <c r="A92" s="41"/>
      <c r="B92" s="56"/>
      <c r="C92" s="226">
        <v>53</v>
      </c>
      <c r="D92" s="95">
        <f t="shared" si="1"/>
        <v>2026</v>
      </c>
      <c r="E92" s="791">
        <f t="shared" si="2"/>
        <v>53</v>
      </c>
      <c r="F92" s="177" t="s">
        <v>146</v>
      </c>
      <c r="G92" s="227"/>
      <c r="H92" s="893"/>
    </row>
    <row r="93" spans="1:8" s="18" customFormat="1" x14ac:dyDescent="0.3">
      <c r="A93" s="41"/>
      <c r="B93" s="56"/>
      <c r="C93" s="226">
        <v>54</v>
      </c>
      <c r="D93" s="95">
        <f t="shared" si="1"/>
        <v>2027</v>
      </c>
      <c r="E93" s="791">
        <f t="shared" si="2"/>
        <v>54</v>
      </c>
      <c r="F93" s="177" t="s">
        <v>146</v>
      </c>
      <c r="G93" s="227"/>
      <c r="H93" s="893"/>
    </row>
    <row r="94" spans="1:8" s="18" customFormat="1" x14ac:dyDescent="0.3">
      <c r="A94" s="41"/>
      <c r="B94" s="56"/>
      <c r="C94" s="226">
        <v>55</v>
      </c>
      <c r="D94" s="95">
        <f t="shared" si="1"/>
        <v>2028</v>
      </c>
      <c r="E94" s="791">
        <f t="shared" si="2"/>
        <v>55</v>
      </c>
      <c r="F94" s="177" t="s">
        <v>146</v>
      </c>
      <c r="G94" s="227"/>
      <c r="H94" s="893"/>
    </row>
    <row r="95" spans="1:8" s="18" customFormat="1" x14ac:dyDescent="0.3">
      <c r="A95" s="41"/>
      <c r="B95" s="56"/>
      <c r="C95" s="226">
        <v>55</v>
      </c>
      <c r="D95" s="95">
        <f t="shared" si="1"/>
        <v>2029</v>
      </c>
      <c r="E95" s="791">
        <f t="shared" si="2"/>
        <v>55</v>
      </c>
      <c r="F95" s="177" t="s">
        <v>146</v>
      </c>
      <c r="G95" s="227"/>
      <c r="H95" s="893"/>
    </row>
    <row r="96" spans="1:8" s="18" customFormat="1" x14ac:dyDescent="0.3">
      <c r="A96" s="41"/>
      <c r="B96" s="56"/>
      <c r="C96" s="226">
        <v>57</v>
      </c>
      <c r="D96" s="95">
        <f t="shared" si="1"/>
        <v>2030</v>
      </c>
      <c r="E96" s="791">
        <f t="shared" si="2"/>
        <v>57</v>
      </c>
      <c r="F96" s="177" t="s">
        <v>146</v>
      </c>
      <c r="G96" s="227"/>
      <c r="H96" s="893"/>
    </row>
    <row r="97" spans="1:8" s="18" customFormat="1" x14ac:dyDescent="0.3">
      <c r="A97" s="41"/>
      <c r="B97" s="56"/>
      <c r="C97" s="226">
        <v>58</v>
      </c>
      <c r="D97" s="95">
        <f t="shared" si="1"/>
        <v>2031</v>
      </c>
      <c r="E97" s="791">
        <f t="shared" si="2"/>
        <v>58</v>
      </c>
      <c r="F97" s="177" t="s">
        <v>146</v>
      </c>
      <c r="G97" s="227"/>
      <c r="H97" s="893"/>
    </row>
    <row r="98" spans="1:8" s="18" customFormat="1" x14ac:dyDescent="0.3">
      <c r="A98" s="41"/>
      <c r="B98" s="56"/>
      <c r="C98" s="226">
        <v>59</v>
      </c>
      <c r="D98" s="95">
        <f t="shared" si="1"/>
        <v>2032</v>
      </c>
      <c r="E98" s="791">
        <f t="shared" si="2"/>
        <v>59</v>
      </c>
      <c r="F98" s="177" t="s">
        <v>146</v>
      </c>
      <c r="G98" s="227"/>
      <c r="H98" s="893"/>
    </row>
    <row r="99" spans="1:8" s="18" customFormat="1" x14ac:dyDescent="0.3">
      <c r="A99" s="41"/>
      <c r="B99" s="56"/>
      <c r="C99" s="226">
        <v>60</v>
      </c>
      <c r="D99" s="95">
        <f t="shared" si="1"/>
        <v>2033</v>
      </c>
      <c r="E99" s="791">
        <f t="shared" si="2"/>
        <v>60</v>
      </c>
      <c r="F99" s="177" t="s">
        <v>146</v>
      </c>
      <c r="G99" s="227"/>
      <c r="H99" s="893"/>
    </row>
    <row r="100" spans="1:8" s="18" customFormat="1" x14ac:dyDescent="0.3">
      <c r="A100" s="41"/>
      <c r="B100" s="56"/>
      <c r="C100" s="226">
        <v>61</v>
      </c>
      <c r="D100" s="95">
        <f t="shared" si="1"/>
        <v>2034</v>
      </c>
      <c r="E100" s="791">
        <f t="shared" si="2"/>
        <v>61</v>
      </c>
      <c r="F100" s="177" t="s">
        <v>146</v>
      </c>
      <c r="G100" s="227"/>
      <c r="H100" s="893"/>
    </row>
    <row r="101" spans="1:8" s="18" customFormat="1" x14ac:dyDescent="0.3">
      <c r="A101" s="41"/>
      <c r="B101" s="56"/>
      <c r="C101" s="226">
        <v>62</v>
      </c>
      <c r="D101" s="95">
        <f t="shared" si="1"/>
        <v>2035</v>
      </c>
      <c r="E101" s="791">
        <f t="shared" si="2"/>
        <v>62</v>
      </c>
      <c r="F101" s="177" t="s">
        <v>146</v>
      </c>
      <c r="G101" s="227"/>
      <c r="H101" s="893"/>
    </row>
    <row r="102" spans="1:8" s="18" customFormat="1" x14ac:dyDescent="0.3">
      <c r="A102" s="41"/>
      <c r="B102" s="56"/>
      <c r="C102" s="226">
        <v>63</v>
      </c>
      <c r="D102" s="95">
        <f t="shared" si="1"/>
        <v>2036</v>
      </c>
      <c r="E102" s="791">
        <f t="shared" si="2"/>
        <v>63</v>
      </c>
      <c r="F102" s="177" t="s">
        <v>146</v>
      </c>
      <c r="G102" s="227"/>
      <c r="H102" s="893"/>
    </row>
    <row r="103" spans="1:8" s="18" customFormat="1" x14ac:dyDescent="0.3">
      <c r="A103" s="41"/>
      <c r="B103" s="56"/>
      <c r="C103" s="226">
        <v>64</v>
      </c>
      <c r="D103" s="95">
        <f t="shared" si="1"/>
        <v>2037</v>
      </c>
      <c r="E103" s="791">
        <f t="shared" si="2"/>
        <v>64</v>
      </c>
      <c r="F103" s="177" t="s">
        <v>146</v>
      </c>
      <c r="G103" s="227"/>
      <c r="H103" s="893"/>
    </row>
    <row r="104" spans="1:8" s="18" customFormat="1" x14ac:dyDescent="0.3">
      <c r="A104" s="41"/>
      <c r="B104" s="56"/>
      <c r="C104" s="226">
        <v>66</v>
      </c>
      <c r="D104" s="95">
        <f t="shared" si="1"/>
        <v>2038</v>
      </c>
      <c r="E104" s="791">
        <f t="shared" si="2"/>
        <v>66</v>
      </c>
      <c r="F104" s="177" t="s">
        <v>146</v>
      </c>
      <c r="G104" s="227"/>
      <c r="H104" s="893"/>
    </row>
    <row r="105" spans="1:8" s="18" customFormat="1" x14ac:dyDescent="0.3">
      <c r="A105" s="41"/>
      <c r="B105" s="56"/>
      <c r="C105" s="226">
        <v>67</v>
      </c>
      <c r="D105" s="95">
        <f t="shared" si="1"/>
        <v>2039</v>
      </c>
      <c r="E105" s="791">
        <f t="shared" si="2"/>
        <v>67</v>
      </c>
      <c r="F105" s="177" t="s">
        <v>146</v>
      </c>
      <c r="G105" s="227"/>
      <c r="H105" s="893"/>
    </row>
    <row r="106" spans="1:8" s="18" customFormat="1" x14ac:dyDescent="0.3">
      <c r="A106" s="41"/>
      <c r="B106" s="56"/>
      <c r="C106" s="226">
        <v>68</v>
      </c>
      <c r="D106" s="95">
        <f t="shared" si="1"/>
        <v>2040</v>
      </c>
      <c r="E106" s="791">
        <f t="shared" si="2"/>
        <v>68</v>
      </c>
      <c r="F106" s="177" t="s">
        <v>146</v>
      </c>
      <c r="G106" s="227"/>
      <c r="H106" s="893"/>
    </row>
    <row r="107" spans="1:8" s="18" customFormat="1" x14ac:dyDescent="0.3">
      <c r="A107" s="41"/>
      <c r="B107" s="56"/>
      <c r="C107" s="226">
        <v>69</v>
      </c>
      <c r="D107" s="95">
        <f t="shared" si="1"/>
        <v>2041</v>
      </c>
      <c r="E107" s="791">
        <f t="shared" si="2"/>
        <v>69</v>
      </c>
      <c r="F107" s="177" t="s">
        <v>146</v>
      </c>
      <c r="G107" s="227"/>
      <c r="H107" s="893"/>
    </row>
    <row r="108" spans="1:8" s="18" customFormat="1" x14ac:dyDescent="0.3">
      <c r="A108" s="41"/>
      <c r="B108" s="56"/>
      <c r="C108" s="226">
        <v>69</v>
      </c>
      <c r="D108" s="95">
        <f t="shared" si="1"/>
        <v>2042</v>
      </c>
      <c r="E108" s="791">
        <f t="shared" si="2"/>
        <v>69</v>
      </c>
      <c r="F108" s="177" t="s">
        <v>146</v>
      </c>
      <c r="G108" s="227"/>
      <c r="H108" s="893"/>
    </row>
    <row r="109" spans="1:8" s="18" customFormat="1" x14ac:dyDescent="0.3">
      <c r="A109" s="41"/>
      <c r="B109" s="56"/>
      <c r="C109" s="226">
        <v>70</v>
      </c>
      <c r="D109" s="95">
        <f t="shared" si="1"/>
        <v>2043</v>
      </c>
      <c r="E109" s="791">
        <f t="shared" si="2"/>
        <v>70</v>
      </c>
      <c r="F109" s="177" t="s">
        <v>146</v>
      </c>
      <c r="G109" s="227"/>
      <c r="H109" s="893"/>
    </row>
    <row r="110" spans="1:8" s="18" customFormat="1" x14ac:dyDescent="0.3">
      <c r="A110" s="41"/>
      <c r="B110" s="56"/>
      <c r="C110" s="226">
        <v>71</v>
      </c>
      <c r="D110" s="95">
        <f t="shared" si="1"/>
        <v>2044</v>
      </c>
      <c r="E110" s="791">
        <f t="shared" si="2"/>
        <v>71</v>
      </c>
      <c r="F110" s="177" t="s">
        <v>146</v>
      </c>
      <c r="G110" s="227"/>
      <c r="H110" s="893"/>
    </row>
    <row r="111" spans="1:8" s="18" customFormat="1" x14ac:dyDescent="0.3">
      <c r="A111" s="41"/>
      <c r="B111" s="56"/>
      <c r="C111" s="226">
        <v>72</v>
      </c>
      <c r="D111" s="95">
        <f t="shared" si="1"/>
        <v>2045</v>
      </c>
      <c r="E111" s="791">
        <f t="shared" si="2"/>
        <v>72</v>
      </c>
      <c r="F111" s="177" t="s">
        <v>146</v>
      </c>
      <c r="G111" s="227"/>
      <c r="H111" s="893"/>
    </row>
    <row r="112" spans="1:8" s="18" customFormat="1" x14ac:dyDescent="0.3">
      <c r="A112" s="41"/>
      <c r="B112" s="56"/>
      <c r="C112" s="226">
        <v>73</v>
      </c>
      <c r="D112" s="95">
        <f t="shared" si="1"/>
        <v>2046</v>
      </c>
      <c r="E112" s="791">
        <f t="shared" si="2"/>
        <v>73</v>
      </c>
      <c r="F112" s="177" t="s">
        <v>146</v>
      </c>
      <c r="G112" s="227"/>
      <c r="H112" s="893"/>
    </row>
    <row r="113" spans="1:8" s="18" customFormat="1" x14ac:dyDescent="0.3">
      <c r="A113" s="41"/>
      <c r="B113" s="56"/>
      <c r="C113" s="226">
        <v>75</v>
      </c>
      <c r="D113" s="95">
        <f t="shared" si="1"/>
        <v>2047</v>
      </c>
      <c r="E113" s="791">
        <f t="shared" si="2"/>
        <v>75</v>
      </c>
      <c r="F113" s="177" t="s">
        <v>146</v>
      </c>
      <c r="G113" s="227"/>
      <c r="H113" s="893"/>
    </row>
    <row r="114" spans="1:8" s="18" customFormat="1" x14ac:dyDescent="0.3">
      <c r="A114" s="41"/>
      <c r="B114" s="56"/>
      <c r="C114" s="226">
        <v>76</v>
      </c>
      <c r="D114" s="95">
        <f t="shared" si="1"/>
        <v>2048</v>
      </c>
      <c r="E114" s="791">
        <f t="shared" si="2"/>
        <v>76</v>
      </c>
      <c r="F114" s="177" t="s">
        <v>146</v>
      </c>
      <c r="G114" s="227"/>
      <c r="H114" s="893"/>
    </row>
    <row r="115" spans="1:8" s="18" customFormat="1" x14ac:dyDescent="0.3">
      <c r="A115" s="41"/>
      <c r="B115" s="56"/>
      <c r="C115" s="226">
        <v>77</v>
      </c>
      <c r="D115" s="95">
        <f t="shared" si="1"/>
        <v>2049</v>
      </c>
      <c r="E115" s="791">
        <f t="shared" si="2"/>
        <v>77</v>
      </c>
      <c r="F115" s="177" t="s">
        <v>146</v>
      </c>
      <c r="G115" s="227"/>
      <c r="H115" s="893"/>
    </row>
    <row r="116" spans="1:8" s="18" customFormat="1" x14ac:dyDescent="0.3">
      <c r="A116" s="41"/>
      <c r="B116" s="56"/>
      <c r="C116" s="226">
        <v>78</v>
      </c>
      <c r="D116" s="95">
        <f t="shared" si="1"/>
        <v>2050</v>
      </c>
      <c r="E116" s="791">
        <f t="shared" si="2"/>
        <v>78</v>
      </c>
      <c r="F116" s="177" t="s">
        <v>146</v>
      </c>
      <c r="G116" s="227"/>
      <c r="H116" s="893"/>
    </row>
    <row r="117" spans="1:8" s="18" customFormat="1" ht="13.8" thickBot="1" x14ac:dyDescent="0.35">
      <c r="A117" s="21"/>
      <c r="B117" s="96"/>
      <c r="C117" s="78"/>
      <c r="D117" s="97"/>
      <c r="E117" s="98"/>
      <c r="F117" s="178"/>
      <c r="G117" s="59"/>
      <c r="H117" s="60"/>
    </row>
    <row r="118" spans="1:8" s="18" customFormat="1" ht="13.8" thickBot="1" x14ac:dyDescent="0.35">
      <c r="A118" s="21"/>
      <c r="D118" s="62"/>
      <c r="F118" s="167"/>
    </row>
    <row r="119" spans="1:8" s="18" customFormat="1" ht="16.2" thickBot="1" x14ac:dyDescent="0.35">
      <c r="A119" s="21"/>
      <c r="B119" s="137" t="s">
        <v>699</v>
      </c>
      <c r="C119" s="42"/>
      <c r="D119" s="99"/>
      <c r="E119" s="42"/>
      <c r="F119" s="179"/>
      <c r="G119" s="43"/>
      <c r="H119" s="44"/>
    </row>
    <row r="120" spans="1:8" s="18" customFormat="1" x14ac:dyDescent="0.3">
      <c r="A120" s="21"/>
      <c r="B120" s="24"/>
      <c r="C120" s="46"/>
      <c r="D120" s="89"/>
      <c r="E120" s="46"/>
      <c r="F120" s="180"/>
      <c r="G120" s="47"/>
      <c r="H120" s="50"/>
    </row>
    <row r="121" spans="1:8" s="18" customFormat="1" ht="40.5" customHeight="1" x14ac:dyDescent="0.3">
      <c r="A121" s="21"/>
      <c r="B121" s="233" t="s">
        <v>293</v>
      </c>
      <c r="C121" s="231">
        <v>9600000</v>
      </c>
      <c r="D121" s="89">
        <v>2015</v>
      </c>
      <c r="E121" s="194">
        <f>C121*'CPI Factors'!J33/'CPI Factors'!J32</f>
        <v>9722416.7122914847</v>
      </c>
      <c r="F121" s="180" t="s">
        <v>11</v>
      </c>
      <c r="G121" s="47" t="s">
        <v>690</v>
      </c>
      <c r="H121" s="48" t="s">
        <v>451</v>
      </c>
    </row>
    <row r="122" spans="1:8" s="18" customFormat="1" ht="39.75" customHeight="1" x14ac:dyDescent="0.3">
      <c r="A122" s="21"/>
      <c r="B122" s="24"/>
      <c r="C122" s="231"/>
      <c r="D122" s="89"/>
      <c r="E122" s="231"/>
      <c r="F122" s="180"/>
      <c r="G122" s="710" t="s">
        <v>148</v>
      </c>
      <c r="H122" s="48" t="s">
        <v>459</v>
      </c>
    </row>
    <row r="123" spans="1:8" s="18" customFormat="1" ht="15.75" customHeight="1" x14ac:dyDescent="0.3">
      <c r="A123" s="21"/>
      <c r="B123" s="24"/>
      <c r="C123" s="231"/>
      <c r="D123" s="89"/>
      <c r="E123" s="231"/>
      <c r="F123" s="180"/>
      <c r="G123" s="32"/>
      <c r="H123" s="48"/>
    </row>
    <row r="124" spans="1:8" s="18" customFormat="1" ht="17.25" customHeight="1" x14ac:dyDescent="0.3">
      <c r="A124" s="21"/>
      <c r="B124" s="233" t="s">
        <v>250</v>
      </c>
      <c r="C124" s="231"/>
      <c r="D124" s="89"/>
      <c r="E124" s="231"/>
      <c r="F124" s="180"/>
      <c r="G124" s="180"/>
      <c r="H124" s="387"/>
    </row>
    <row r="125" spans="1:8" s="18" customFormat="1" ht="13.5" customHeight="1" x14ac:dyDescent="0.3">
      <c r="A125" s="21"/>
      <c r="B125" s="24" t="s">
        <v>236</v>
      </c>
      <c r="C125" s="230">
        <v>0</v>
      </c>
      <c r="D125" s="89"/>
      <c r="E125" s="131"/>
      <c r="F125" s="166"/>
      <c r="G125" s="1748" t="s">
        <v>690</v>
      </c>
      <c r="H125" s="1754" t="s">
        <v>451</v>
      </c>
    </row>
    <row r="126" spans="1:8" s="18" customFormat="1" ht="15" customHeight="1" x14ac:dyDescent="0.3">
      <c r="A126" s="21"/>
      <c r="B126" s="24" t="s">
        <v>237</v>
      </c>
      <c r="C126" s="131">
        <f>0.003</f>
        <v>3.0000000000000001E-3</v>
      </c>
      <c r="D126" s="89"/>
      <c r="E126" s="131"/>
      <c r="F126" s="166"/>
      <c r="G126" s="1748"/>
      <c r="H126" s="1754"/>
    </row>
    <row r="127" spans="1:8" s="18" customFormat="1" ht="13.5" customHeight="1" x14ac:dyDescent="0.3">
      <c r="A127" s="21"/>
      <c r="B127" s="24" t="s">
        <v>238</v>
      </c>
      <c r="C127" s="131">
        <f>0.047</f>
        <v>4.7E-2</v>
      </c>
      <c r="D127" s="89"/>
      <c r="E127" s="131"/>
      <c r="F127" s="166"/>
      <c r="G127" s="1748"/>
      <c r="H127" s="1754"/>
    </row>
    <row r="128" spans="1:8" s="18" customFormat="1" ht="13.5" customHeight="1" x14ac:dyDescent="0.3">
      <c r="A128" s="21"/>
      <c r="B128" s="24" t="s">
        <v>239</v>
      </c>
      <c r="C128" s="131">
        <f>0.105</f>
        <v>0.105</v>
      </c>
      <c r="D128" s="89"/>
      <c r="E128" s="131"/>
      <c r="F128" s="166"/>
      <c r="G128" s="1749" t="s">
        <v>148</v>
      </c>
      <c r="H128" s="1754" t="s">
        <v>459</v>
      </c>
    </row>
    <row r="129" spans="1:48" s="18" customFormat="1" ht="13.5" customHeight="1" x14ac:dyDescent="0.3">
      <c r="A129" s="21"/>
      <c r="B129" s="24" t="s">
        <v>240</v>
      </c>
      <c r="C129" s="131">
        <f>0.266</f>
        <v>0.26600000000000001</v>
      </c>
      <c r="D129" s="89"/>
      <c r="E129" s="131"/>
      <c r="F129" s="166"/>
      <c r="G129" s="1748"/>
      <c r="H129" s="1754"/>
    </row>
    <row r="130" spans="1:48" s="18" customFormat="1" ht="13.5" customHeight="1" x14ac:dyDescent="0.3">
      <c r="A130" s="21"/>
      <c r="B130" s="24" t="s">
        <v>241</v>
      </c>
      <c r="C130" s="131">
        <f>0.593</f>
        <v>0.59299999999999997</v>
      </c>
      <c r="D130" s="89"/>
      <c r="E130" s="131"/>
      <c r="F130" s="166"/>
      <c r="G130" s="1748"/>
      <c r="H130" s="1754"/>
    </row>
    <row r="131" spans="1:48" s="18" customFormat="1" ht="13.5" customHeight="1" x14ac:dyDescent="0.3">
      <c r="A131" s="21"/>
      <c r="B131" s="24" t="s">
        <v>242</v>
      </c>
      <c r="C131" s="131">
        <v>1</v>
      </c>
      <c r="D131" s="89"/>
      <c r="E131" s="131"/>
      <c r="F131" s="166"/>
      <c r="G131" s="47"/>
      <c r="H131" s="48"/>
    </row>
    <row r="132" spans="1:48" s="18" customFormat="1" ht="13.5" customHeight="1" x14ac:dyDescent="0.3">
      <c r="A132" s="21"/>
      <c r="B132" s="24"/>
      <c r="C132" s="131"/>
      <c r="D132" s="89"/>
      <c r="E132" s="131"/>
      <c r="F132" s="166"/>
      <c r="G132" s="166"/>
      <c r="H132" s="48"/>
      <c r="AH132" s="340"/>
      <c r="AI132" s="340"/>
      <c r="AJ132" s="340"/>
      <c r="AK132" s="340"/>
      <c r="AL132" s="340"/>
      <c r="AM132" s="340"/>
      <c r="AN132" s="340"/>
      <c r="AO132" s="340"/>
      <c r="AP132" s="340"/>
      <c r="AQ132" s="340"/>
      <c r="AR132" s="340"/>
      <c r="AS132" s="340"/>
      <c r="AT132" s="340"/>
    </row>
    <row r="133" spans="1:48" s="18" customFormat="1" ht="13.5" customHeight="1" x14ac:dyDescent="0.3">
      <c r="A133" s="21"/>
      <c r="B133" s="233" t="s">
        <v>700</v>
      </c>
      <c r="C133" s="132"/>
      <c r="D133" s="89"/>
      <c r="E133" s="32"/>
      <c r="F133" s="166"/>
      <c r="G133" s="32"/>
      <c r="H133" s="48"/>
      <c r="I133" s="340"/>
      <c r="J133" s="340"/>
      <c r="K133" s="340"/>
      <c r="L133" s="340"/>
      <c r="M133" s="340"/>
      <c r="N133" s="340"/>
      <c r="O133" s="340"/>
      <c r="P133" s="340"/>
      <c r="Q133" s="340"/>
      <c r="R133" s="340"/>
      <c r="S133" s="340"/>
      <c r="T133" s="340"/>
      <c r="U133" s="340"/>
      <c r="V133" s="340"/>
      <c r="W133" s="340"/>
      <c r="X133" s="340"/>
      <c r="Y133" s="340"/>
      <c r="Z133" s="340"/>
      <c r="AA133" s="340"/>
      <c r="AB133" s="340"/>
      <c r="AC133" s="340"/>
      <c r="AD133" s="340"/>
      <c r="AE133" s="340"/>
      <c r="AF133" s="340"/>
      <c r="AG133" s="340"/>
      <c r="AH133" s="340"/>
      <c r="AI133" s="340"/>
      <c r="AJ133" s="340"/>
      <c r="AK133" s="340"/>
      <c r="AL133" s="340"/>
      <c r="AM133" s="340"/>
      <c r="AN133" s="340"/>
      <c r="AO133" s="340"/>
      <c r="AP133" s="340"/>
      <c r="AQ133" s="340"/>
      <c r="AR133" s="340"/>
      <c r="AS133" s="340"/>
      <c r="AT133" s="340"/>
    </row>
    <row r="134" spans="1:48" s="18" customFormat="1" ht="13.5" customHeight="1" x14ac:dyDescent="0.3">
      <c r="A134" s="21"/>
      <c r="B134" s="24" t="s">
        <v>243</v>
      </c>
      <c r="C134" s="231">
        <f t="shared" ref="C134:C140" si="3">C125*$C$121</f>
        <v>0</v>
      </c>
      <c r="D134" s="89">
        <v>2015</v>
      </c>
      <c r="E134" s="231">
        <f>C134*'CPI Factors'!J33/'CPI Factors'!J32</f>
        <v>0</v>
      </c>
      <c r="F134" s="180" t="s">
        <v>11</v>
      </c>
      <c r="G134" s="1748" t="s">
        <v>690</v>
      </c>
      <c r="H134" s="1754" t="s">
        <v>451</v>
      </c>
      <c r="I134" s="340"/>
      <c r="J134" s="340"/>
      <c r="K134" s="340"/>
      <c r="L134" s="340"/>
      <c r="M134" s="340"/>
      <c r="N134" s="340"/>
      <c r="O134" s="340"/>
      <c r="P134" s="340"/>
      <c r="Q134" s="340"/>
      <c r="R134" s="340"/>
      <c r="S134" s="340"/>
      <c r="T134" s="340"/>
      <c r="U134" s="340"/>
      <c r="V134" s="340"/>
      <c r="W134" s="340"/>
      <c r="X134" s="340"/>
      <c r="Y134" s="340"/>
      <c r="Z134" s="340"/>
      <c r="AA134" s="340"/>
      <c r="AB134" s="340"/>
      <c r="AC134" s="340"/>
      <c r="AD134" s="340"/>
      <c r="AE134" s="340"/>
      <c r="AF134" s="340"/>
      <c r="AG134" s="340"/>
      <c r="AH134" s="340"/>
      <c r="AI134" s="340"/>
      <c r="AJ134" s="340"/>
      <c r="AK134" s="340"/>
      <c r="AL134" s="340"/>
      <c r="AM134" s="340"/>
      <c r="AN134" s="340"/>
      <c r="AO134" s="340"/>
      <c r="AP134" s="340"/>
      <c r="AQ134" s="340"/>
      <c r="AR134" s="340"/>
      <c r="AS134" s="340"/>
      <c r="AT134" s="340"/>
      <c r="AU134" s="341"/>
      <c r="AV134" s="341"/>
    </row>
    <row r="135" spans="1:48" s="58" customFormat="1" ht="13.5" customHeight="1" x14ac:dyDescent="0.3">
      <c r="A135" s="21"/>
      <c r="B135" s="24" t="s">
        <v>244</v>
      </c>
      <c r="C135" s="231">
        <f>C126*$C$121</f>
        <v>28800</v>
      </c>
      <c r="D135" s="89">
        <v>2015</v>
      </c>
      <c r="E135" s="194">
        <f>C135*'CPI Factors'!J33/'CPI Factors'!J32</f>
        <v>29167.250136874452</v>
      </c>
      <c r="F135" s="180" t="s">
        <v>11</v>
      </c>
      <c r="G135" s="1748"/>
      <c r="H135" s="1754"/>
      <c r="I135" s="340"/>
      <c r="J135" s="340"/>
      <c r="K135" s="340"/>
      <c r="L135" s="340"/>
      <c r="M135" s="340"/>
      <c r="N135" s="340"/>
      <c r="O135" s="340"/>
      <c r="P135" s="340"/>
      <c r="Q135" s="340"/>
      <c r="R135" s="340"/>
      <c r="S135" s="340"/>
      <c r="T135" s="340"/>
      <c r="U135" s="340"/>
      <c r="V135" s="340"/>
      <c r="W135" s="340"/>
      <c r="X135" s="340"/>
      <c r="Y135" s="340"/>
      <c r="Z135" s="340"/>
      <c r="AA135" s="340"/>
      <c r="AB135" s="340"/>
      <c r="AC135" s="340"/>
      <c r="AD135" s="340"/>
      <c r="AE135" s="340"/>
      <c r="AF135" s="340"/>
      <c r="AG135" s="340"/>
      <c r="AH135" s="340"/>
      <c r="AI135" s="340"/>
      <c r="AJ135" s="340"/>
      <c r="AK135" s="340"/>
      <c r="AL135" s="340"/>
      <c r="AM135" s="340"/>
      <c r="AN135" s="340"/>
      <c r="AO135" s="340"/>
      <c r="AP135" s="340"/>
      <c r="AQ135" s="340"/>
      <c r="AR135" s="340"/>
      <c r="AS135" s="340"/>
      <c r="AT135" s="340"/>
      <c r="AU135" s="341"/>
      <c r="AV135" s="341"/>
    </row>
    <row r="136" spans="1:48" s="58" customFormat="1" ht="13.5" customHeight="1" x14ac:dyDescent="0.3">
      <c r="A136" s="21"/>
      <c r="B136" s="24" t="s">
        <v>245</v>
      </c>
      <c r="C136" s="231">
        <f t="shared" si="3"/>
        <v>451200</v>
      </c>
      <c r="D136" s="89">
        <v>2015</v>
      </c>
      <c r="E136" s="194">
        <f>C136*'CPI Factors'!J33/'CPI Factors'!J32</f>
        <v>456953.58547769976</v>
      </c>
      <c r="F136" s="180" t="s">
        <v>11</v>
      </c>
      <c r="G136" s="1748"/>
      <c r="H136" s="1754"/>
      <c r="I136" s="340"/>
      <c r="J136" s="340"/>
      <c r="K136" s="340"/>
      <c r="L136" s="340"/>
      <c r="M136" s="340"/>
      <c r="N136" s="340"/>
      <c r="O136" s="340"/>
      <c r="P136" s="340"/>
      <c r="Q136" s="340"/>
      <c r="R136" s="340"/>
      <c r="S136" s="340"/>
      <c r="T136" s="340"/>
      <c r="U136" s="340"/>
      <c r="V136" s="340"/>
      <c r="W136" s="340"/>
      <c r="X136" s="340"/>
      <c r="Y136" s="340"/>
      <c r="Z136" s="340"/>
      <c r="AA136" s="340"/>
      <c r="AB136" s="340"/>
      <c r="AC136" s="340"/>
      <c r="AD136" s="340"/>
      <c r="AE136" s="340"/>
      <c r="AF136" s="340"/>
      <c r="AG136" s="340"/>
      <c r="AH136" s="340"/>
      <c r="AI136" s="340"/>
      <c r="AJ136" s="340"/>
      <c r="AK136" s="340"/>
      <c r="AL136" s="340"/>
      <c r="AM136" s="340"/>
      <c r="AN136" s="340"/>
      <c r="AO136" s="340"/>
      <c r="AP136" s="340"/>
      <c r="AQ136" s="340"/>
      <c r="AR136" s="340"/>
      <c r="AS136" s="340"/>
      <c r="AT136" s="340"/>
      <c r="AU136" s="341"/>
      <c r="AV136" s="341"/>
    </row>
    <row r="137" spans="1:48" s="58" customFormat="1" ht="13.5" customHeight="1" x14ac:dyDescent="0.3">
      <c r="A137" s="21"/>
      <c r="B137" s="24" t="s">
        <v>246</v>
      </c>
      <c r="C137" s="231">
        <f t="shared" si="3"/>
        <v>1008000</v>
      </c>
      <c r="D137" s="89">
        <v>2015</v>
      </c>
      <c r="E137" s="194">
        <f>C137*'CPI Factors'!J33/'CPI Factors'!J32</f>
        <v>1020853.7547906057</v>
      </c>
      <c r="F137" s="180" t="s">
        <v>11</v>
      </c>
      <c r="G137" s="1753" t="s">
        <v>148</v>
      </c>
      <c r="H137" s="1754" t="s">
        <v>459</v>
      </c>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340"/>
      <c r="AF137" s="340"/>
      <c r="AG137" s="340"/>
      <c r="AH137" s="340"/>
      <c r="AI137" s="340"/>
      <c r="AJ137" s="340"/>
      <c r="AK137" s="340"/>
      <c r="AL137" s="340"/>
      <c r="AM137" s="340"/>
      <c r="AN137" s="340"/>
      <c r="AO137" s="340"/>
      <c r="AP137" s="340"/>
      <c r="AQ137" s="340"/>
      <c r="AR137" s="340"/>
      <c r="AS137" s="340"/>
      <c r="AT137" s="340"/>
      <c r="AU137" s="341"/>
      <c r="AV137" s="341"/>
    </row>
    <row r="138" spans="1:48" s="58" customFormat="1" ht="13.5" customHeight="1" x14ac:dyDescent="0.3">
      <c r="A138" s="21"/>
      <c r="B138" s="24" t="s">
        <v>247</v>
      </c>
      <c r="C138" s="231">
        <f t="shared" si="3"/>
        <v>2553600</v>
      </c>
      <c r="D138" s="89">
        <v>2015</v>
      </c>
      <c r="E138" s="194">
        <f>C138*'CPI Factors'!J33/'CPI Factors'!J32</f>
        <v>2586162.8454695349</v>
      </c>
      <c r="F138" s="180" t="s">
        <v>11</v>
      </c>
      <c r="G138" s="1753"/>
      <c r="H138" s="1754"/>
      <c r="I138" s="340"/>
      <c r="J138" s="340"/>
      <c r="K138" s="340"/>
      <c r="L138" s="340"/>
      <c r="M138" s="340"/>
      <c r="N138" s="340"/>
      <c r="O138" s="340"/>
      <c r="P138" s="340"/>
      <c r="Q138" s="340"/>
      <c r="R138" s="340"/>
      <c r="S138" s="340"/>
      <c r="T138" s="340"/>
      <c r="U138" s="340"/>
      <c r="V138" s="340"/>
      <c r="W138" s="340"/>
      <c r="X138" s="340"/>
      <c r="Y138" s="340"/>
      <c r="Z138" s="340"/>
      <c r="AA138" s="340"/>
      <c r="AB138" s="340"/>
      <c r="AC138" s="340"/>
      <c r="AD138" s="340"/>
      <c r="AE138" s="340"/>
      <c r="AF138" s="340"/>
      <c r="AG138" s="340"/>
      <c r="AH138" s="340"/>
      <c r="AI138" s="340"/>
      <c r="AJ138" s="340"/>
      <c r="AK138" s="340"/>
      <c r="AL138" s="340"/>
      <c r="AM138" s="340"/>
      <c r="AN138" s="340"/>
      <c r="AO138" s="340"/>
      <c r="AP138" s="340"/>
      <c r="AQ138" s="340"/>
      <c r="AR138" s="340"/>
      <c r="AS138" s="340"/>
      <c r="AT138" s="340"/>
      <c r="AU138" s="341"/>
      <c r="AV138" s="341"/>
    </row>
    <row r="139" spans="1:48" s="58" customFormat="1" ht="13.5" customHeight="1" x14ac:dyDescent="0.3">
      <c r="A139" s="21"/>
      <c r="B139" s="24" t="s">
        <v>248</v>
      </c>
      <c r="C139" s="231">
        <f t="shared" si="3"/>
        <v>5692800</v>
      </c>
      <c r="D139" s="89">
        <v>2015</v>
      </c>
      <c r="E139" s="194">
        <f>C139*'CPI Factors'!J33/'CPI Factors'!J32</f>
        <v>5765393.1103888499</v>
      </c>
      <c r="F139" s="180" t="s">
        <v>11</v>
      </c>
      <c r="G139" s="1753"/>
      <c r="H139" s="1754"/>
      <c r="I139" s="340"/>
      <c r="J139" s="340"/>
      <c r="K139" s="340"/>
      <c r="L139" s="340"/>
      <c r="M139" s="340"/>
      <c r="N139" s="340"/>
      <c r="O139" s="340"/>
      <c r="P139" s="340"/>
      <c r="Q139" s="340"/>
      <c r="R139" s="340"/>
      <c r="S139" s="340"/>
      <c r="T139" s="340"/>
      <c r="U139" s="340"/>
      <c r="V139" s="340"/>
      <c r="W139" s="340"/>
      <c r="X139" s="340"/>
      <c r="Y139" s="340"/>
      <c r="Z139" s="340"/>
      <c r="AA139" s="340"/>
      <c r="AB139" s="340"/>
      <c r="AC139" s="340"/>
      <c r="AD139" s="340"/>
      <c r="AE139" s="340"/>
      <c r="AF139" s="340"/>
      <c r="AG139" s="340"/>
      <c r="AH139" s="340"/>
      <c r="AI139" s="340"/>
      <c r="AJ139" s="340"/>
      <c r="AK139" s="340"/>
      <c r="AL139" s="340"/>
      <c r="AM139" s="340"/>
      <c r="AN139" s="340"/>
      <c r="AO139" s="340"/>
      <c r="AP139" s="340"/>
      <c r="AQ139" s="340"/>
      <c r="AR139" s="340"/>
      <c r="AS139" s="340"/>
      <c r="AT139" s="340"/>
      <c r="AU139" s="341"/>
      <c r="AV139" s="341"/>
    </row>
    <row r="140" spans="1:48" s="58" customFormat="1" ht="13.5" customHeight="1" x14ac:dyDescent="0.3">
      <c r="A140" s="21"/>
      <c r="B140" s="24" t="s">
        <v>249</v>
      </c>
      <c r="C140" s="231">
        <f t="shared" si="3"/>
        <v>9600000</v>
      </c>
      <c r="D140" s="89">
        <v>2015</v>
      </c>
      <c r="E140" s="194">
        <f>C140*'CPI Factors'!J33/'CPI Factors'!J32</f>
        <v>9722416.7122914847</v>
      </c>
      <c r="F140" s="180" t="s">
        <v>11</v>
      </c>
      <c r="G140" s="1753"/>
      <c r="H140" s="48"/>
      <c r="I140" s="340"/>
      <c r="J140" s="340"/>
      <c r="K140" s="340"/>
      <c r="L140" s="340"/>
      <c r="M140" s="340"/>
      <c r="N140" s="340"/>
      <c r="O140" s="340"/>
      <c r="P140" s="340"/>
      <c r="Q140" s="340"/>
      <c r="R140" s="340"/>
      <c r="S140" s="340"/>
      <c r="T140" s="340"/>
      <c r="U140" s="340"/>
      <c r="V140" s="340"/>
      <c r="W140" s="340"/>
      <c r="X140" s="340"/>
      <c r="Y140" s="340"/>
      <c r="Z140" s="340"/>
      <c r="AA140" s="340"/>
      <c r="AB140" s="340"/>
      <c r="AC140" s="340"/>
      <c r="AD140" s="340"/>
      <c r="AE140" s="340"/>
      <c r="AF140" s="340"/>
      <c r="AG140" s="340"/>
      <c r="AH140" s="340"/>
      <c r="AI140" s="340"/>
      <c r="AJ140" s="340"/>
      <c r="AK140" s="340"/>
      <c r="AL140" s="340"/>
      <c r="AM140" s="340"/>
      <c r="AN140" s="340"/>
      <c r="AO140" s="340"/>
      <c r="AP140" s="340"/>
      <c r="AQ140" s="340"/>
      <c r="AR140" s="340"/>
      <c r="AS140" s="340"/>
      <c r="AT140" s="340"/>
      <c r="AU140" s="341"/>
      <c r="AV140" s="341"/>
    </row>
    <row r="141" spans="1:48" s="18" customFormat="1" ht="13.5" customHeight="1" x14ac:dyDescent="0.3">
      <c r="A141" s="21"/>
      <c r="B141" s="24"/>
      <c r="C141" s="46"/>
      <c r="D141" s="89"/>
      <c r="E141" s="49"/>
      <c r="F141" s="180"/>
      <c r="G141" s="47"/>
      <c r="H141" s="50"/>
      <c r="I141" s="340"/>
      <c r="J141" s="340"/>
      <c r="K141" s="340"/>
      <c r="L141" s="340"/>
      <c r="M141" s="340"/>
      <c r="N141" s="340"/>
      <c r="O141" s="340"/>
      <c r="P141" s="340"/>
      <c r="Q141" s="340"/>
      <c r="R141" s="340"/>
      <c r="S141" s="340"/>
      <c r="T141" s="340"/>
      <c r="U141" s="340"/>
      <c r="V141" s="340"/>
      <c r="W141" s="340"/>
      <c r="X141" s="340"/>
      <c r="Y141" s="340"/>
      <c r="Z141" s="340"/>
      <c r="AA141" s="340"/>
      <c r="AB141" s="340"/>
      <c r="AC141" s="340"/>
      <c r="AD141" s="340"/>
      <c r="AE141" s="340"/>
      <c r="AF141" s="340"/>
      <c r="AG141" s="340"/>
      <c r="AH141" s="340"/>
      <c r="AI141" s="340"/>
      <c r="AJ141" s="340"/>
      <c r="AK141" s="340"/>
      <c r="AL141" s="340"/>
      <c r="AM141" s="340"/>
      <c r="AN141" s="340"/>
      <c r="AO141" s="340"/>
      <c r="AP141" s="340"/>
      <c r="AQ141" s="340"/>
      <c r="AR141" s="340"/>
      <c r="AS141" s="340"/>
      <c r="AT141" s="340"/>
      <c r="AU141" s="341"/>
      <c r="AV141" s="341"/>
    </row>
    <row r="142" spans="1:48" s="18" customFormat="1" ht="29.25" customHeight="1" x14ac:dyDescent="0.3">
      <c r="A142" s="21"/>
      <c r="B142" s="233" t="s">
        <v>701</v>
      </c>
      <c r="C142" s="131"/>
      <c r="D142" s="89"/>
      <c r="E142" s="32"/>
      <c r="F142" s="166"/>
      <c r="G142" s="32"/>
      <c r="H142" s="48"/>
      <c r="I142" s="340"/>
      <c r="J142" s="340"/>
      <c r="K142" s="340"/>
      <c r="L142" s="340"/>
      <c r="M142" s="340"/>
      <c r="N142" s="340"/>
      <c r="O142" s="340"/>
      <c r="P142" s="340"/>
      <c r="Q142" s="340"/>
      <c r="R142" s="340"/>
      <c r="S142" s="340"/>
      <c r="T142" s="340"/>
      <c r="U142" s="340"/>
      <c r="V142" s="340"/>
      <c r="W142" s="340"/>
      <c r="X142" s="340"/>
      <c r="Y142" s="340"/>
      <c r="Z142" s="340"/>
      <c r="AA142" s="340"/>
      <c r="AB142" s="340"/>
      <c r="AC142" s="340"/>
      <c r="AD142" s="340"/>
      <c r="AE142" s="340"/>
      <c r="AF142" s="340"/>
      <c r="AG142" s="340"/>
      <c r="AH142" s="340"/>
      <c r="AI142" s="340"/>
      <c r="AJ142" s="340"/>
      <c r="AK142" s="340"/>
      <c r="AL142" s="340"/>
      <c r="AM142" s="340"/>
      <c r="AN142" s="340"/>
      <c r="AO142" s="340"/>
      <c r="AP142" s="340"/>
      <c r="AQ142" s="340"/>
      <c r="AR142" s="340"/>
      <c r="AS142" s="340"/>
      <c r="AT142" s="340"/>
    </row>
    <row r="143" spans="1:48" s="18" customFormat="1" ht="13.5" customHeight="1" x14ac:dyDescent="0.3">
      <c r="A143" s="21"/>
      <c r="B143" s="24" t="s">
        <v>17</v>
      </c>
      <c r="C143" s="231">
        <f>'KABCO-AIS Conv Matrix'!G50</f>
        <v>9600000</v>
      </c>
      <c r="D143" s="89">
        <v>2015</v>
      </c>
      <c r="E143" s="194">
        <v>9600000</v>
      </c>
      <c r="F143" s="180" t="s">
        <v>11</v>
      </c>
      <c r="G143" s="1748" t="s">
        <v>526</v>
      </c>
      <c r="H143" s="1747" t="s">
        <v>451</v>
      </c>
    </row>
    <row r="144" spans="1:48" s="18" customFormat="1" ht="13.5" customHeight="1" x14ac:dyDescent="0.3">
      <c r="A144" s="21"/>
      <c r="B144" s="232" t="s">
        <v>200</v>
      </c>
      <c r="C144" s="231">
        <f>'KABCO-AIS Conv Matrix'!F50</f>
        <v>459120.288</v>
      </c>
      <c r="D144" s="89">
        <v>2015</v>
      </c>
      <c r="E144" s="194">
        <v>459100</v>
      </c>
      <c r="F144" s="180" t="s">
        <v>11</v>
      </c>
      <c r="G144" s="1748"/>
      <c r="H144" s="1747"/>
    </row>
    <row r="145" spans="1:9" s="18" customFormat="1" ht="13.5" customHeight="1" x14ac:dyDescent="0.3">
      <c r="A145" s="21"/>
      <c r="B145" s="232" t="s">
        <v>201</v>
      </c>
      <c r="C145" s="231">
        <f>'KABCO-AIS Conv Matrix'!E50</f>
        <v>125049.88800000001</v>
      </c>
      <c r="D145" s="89">
        <v>2015</v>
      </c>
      <c r="E145" s="194">
        <v>125000</v>
      </c>
      <c r="F145" s="180" t="s">
        <v>11</v>
      </c>
      <c r="G145" s="1748"/>
      <c r="H145" s="1747"/>
    </row>
    <row r="146" spans="1:9" s="18" customFormat="1" ht="13.5" customHeight="1" x14ac:dyDescent="0.3">
      <c r="A146" s="21"/>
      <c r="B146" s="232" t="s">
        <v>202</v>
      </c>
      <c r="C146" s="231">
        <f>'KABCO-AIS Conv Matrix'!D50</f>
        <v>63854.495999999999</v>
      </c>
      <c r="D146" s="89">
        <v>2015</v>
      </c>
      <c r="E146" s="194">
        <v>63900</v>
      </c>
      <c r="F146" s="180" t="s">
        <v>11</v>
      </c>
      <c r="G146" s="1748"/>
      <c r="H146" s="1747"/>
    </row>
    <row r="147" spans="1:9" s="18" customFormat="1" ht="13.5" customHeight="1" x14ac:dyDescent="0.3">
      <c r="A147" s="21"/>
      <c r="B147" s="24" t="s">
        <v>203</v>
      </c>
      <c r="C147" s="231">
        <f>'KABCO-AIS Conv Matrix'!H50</f>
        <v>174029.568</v>
      </c>
      <c r="D147" s="89">
        <v>2015</v>
      </c>
      <c r="E147" s="194">
        <v>174000</v>
      </c>
      <c r="F147" s="180" t="s">
        <v>11</v>
      </c>
      <c r="G147" s="1748"/>
      <c r="H147" s="50"/>
    </row>
    <row r="148" spans="1:9" s="18" customFormat="1" ht="19.5" customHeight="1" x14ac:dyDescent="0.3">
      <c r="A148" s="21"/>
      <c r="B148" s="24"/>
      <c r="C148" s="231"/>
      <c r="D148" s="89"/>
      <c r="E148" s="231"/>
      <c r="F148" s="180"/>
      <c r="G148" s="47"/>
      <c r="H148" s="50"/>
    </row>
    <row r="149" spans="1:9" s="18" customFormat="1" ht="39.75" customHeight="1" x14ac:dyDescent="0.3">
      <c r="A149" s="21"/>
      <c r="B149" s="24" t="s">
        <v>264</v>
      </c>
      <c r="C149" s="231">
        <v>4198</v>
      </c>
      <c r="D149" s="89">
        <v>2015</v>
      </c>
      <c r="E149" s="194">
        <v>4252</v>
      </c>
      <c r="F149" s="180" t="s">
        <v>29</v>
      </c>
      <c r="G149" s="47" t="s">
        <v>690</v>
      </c>
      <c r="H149" s="1747" t="s">
        <v>451</v>
      </c>
    </row>
    <row r="150" spans="1:9" s="18" customFormat="1" ht="30" customHeight="1" x14ac:dyDescent="0.3">
      <c r="A150" s="21"/>
      <c r="B150" s="24"/>
      <c r="C150" s="39"/>
      <c r="D150" s="89"/>
      <c r="E150" s="231"/>
      <c r="F150" s="180"/>
      <c r="G150" s="892" t="s">
        <v>528</v>
      </c>
      <c r="H150" s="1747"/>
    </row>
    <row r="151" spans="1:9" s="18" customFormat="1" ht="13.5" customHeight="1" thickBot="1" x14ac:dyDescent="0.35">
      <c r="A151" s="21"/>
      <c r="B151" s="100"/>
      <c r="C151" s="101"/>
      <c r="D151" s="90"/>
      <c r="E151" s="102"/>
      <c r="F151" s="181"/>
      <c r="G151" s="51"/>
      <c r="H151" s="52"/>
    </row>
    <row r="152" spans="1:9" s="18" customFormat="1" ht="13.8" thickBot="1" x14ac:dyDescent="0.35">
      <c r="A152" s="21"/>
      <c r="D152" s="62"/>
      <c r="F152" s="167"/>
      <c r="G152" s="21"/>
      <c r="H152" s="21"/>
      <c r="I152" s="21"/>
    </row>
    <row r="153" spans="1:9" s="18" customFormat="1" ht="16.2" thickBot="1" x14ac:dyDescent="0.35">
      <c r="A153" s="21"/>
      <c r="B153" s="138" t="s">
        <v>28</v>
      </c>
      <c r="C153" s="53"/>
      <c r="D153" s="91"/>
      <c r="E153" s="53"/>
      <c r="F153" s="182"/>
      <c r="G153" s="54"/>
      <c r="H153" s="55"/>
    </row>
    <row r="154" spans="1:9" x14ac:dyDescent="0.3">
      <c r="B154" s="103"/>
      <c r="C154" s="104"/>
      <c r="D154" s="105"/>
      <c r="E154" s="104"/>
      <c r="F154" s="183"/>
      <c r="G154" s="104"/>
      <c r="H154" s="106"/>
    </row>
    <row r="155" spans="1:9" ht="79.2" x14ac:dyDescent="0.3">
      <c r="B155" s="17" t="s">
        <v>52</v>
      </c>
      <c r="C155" s="38">
        <v>76900</v>
      </c>
      <c r="D155" s="76">
        <v>2015</v>
      </c>
      <c r="E155" s="38">
        <f>C155</f>
        <v>76900</v>
      </c>
      <c r="F155" s="173" t="s">
        <v>30</v>
      </c>
      <c r="G155" s="29" t="s">
        <v>527</v>
      </c>
      <c r="H155" s="893" t="s">
        <v>451</v>
      </c>
    </row>
    <row r="156" spans="1:9" ht="13.8" thickBot="1" x14ac:dyDescent="0.35">
      <c r="B156" s="107"/>
      <c r="C156" s="108"/>
      <c r="D156" s="109"/>
      <c r="E156" s="108"/>
      <c r="F156" s="184"/>
      <c r="G156" s="108"/>
      <c r="H156" s="110"/>
    </row>
    <row r="157" spans="1:9" x14ac:dyDescent="0.3">
      <c r="D157" s="62"/>
      <c r="G157" s="1"/>
      <c r="H157" s="1"/>
    </row>
    <row r="158" spans="1:9" x14ac:dyDescent="0.3">
      <c r="D158" s="62"/>
      <c r="G158" s="1"/>
      <c r="H158" s="1"/>
    </row>
    <row r="159" spans="1:9" x14ac:dyDescent="0.3">
      <c r="D159" s="62"/>
      <c r="G159" s="1"/>
      <c r="H159" s="1"/>
    </row>
  </sheetData>
  <mergeCells count="25">
    <mergeCell ref="G59:G62"/>
    <mergeCell ref="H59:H62"/>
    <mergeCell ref="G53:G56"/>
    <mergeCell ref="H53:H56"/>
    <mergeCell ref="G24:G26"/>
    <mergeCell ref="H24:H26"/>
    <mergeCell ref="G28:G30"/>
    <mergeCell ref="H28:H30"/>
    <mergeCell ref="G65:G68"/>
    <mergeCell ref="H65:H68"/>
    <mergeCell ref="H143:H146"/>
    <mergeCell ref="G137:G140"/>
    <mergeCell ref="H137:H139"/>
    <mergeCell ref="H125:H127"/>
    <mergeCell ref="G125:G127"/>
    <mergeCell ref="H128:H130"/>
    <mergeCell ref="G134:G136"/>
    <mergeCell ref="H134:H136"/>
    <mergeCell ref="G71:G74"/>
    <mergeCell ref="H71:H73"/>
    <mergeCell ref="H149:H150"/>
    <mergeCell ref="G143:G147"/>
    <mergeCell ref="G128:G130"/>
    <mergeCell ref="G81:G89"/>
    <mergeCell ref="H81:H86"/>
  </mergeCells>
  <pageMargins left="0.7" right="0.7" top="0.75" bottom="0.75" header="0.3" footer="0.3"/>
  <pageSetup scale="18" fitToHeight="2"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AH69"/>
  <sheetViews>
    <sheetView topLeftCell="A7" workbookViewId="0">
      <selection activeCell="G11" sqref="G11"/>
    </sheetView>
  </sheetViews>
  <sheetFormatPr defaultColWidth="9.109375" defaultRowHeight="14.4" x14ac:dyDescent="0.3"/>
  <cols>
    <col min="1" max="1" width="8.88671875" style="253" customWidth="1"/>
    <col min="2" max="2" width="33.6640625" style="253" customWidth="1"/>
    <col min="3" max="3" width="10.6640625" style="253" customWidth="1"/>
    <col min="4" max="4" width="13.88671875" style="253" customWidth="1"/>
    <col min="5" max="5" width="10.6640625" style="253" customWidth="1"/>
    <col min="6" max="6" width="14.44140625" style="253" customWidth="1"/>
    <col min="7" max="9" width="10.6640625" style="253" customWidth="1"/>
    <col min="10" max="10" width="11.88671875" style="253" customWidth="1"/>
    <col min="11" max="16" width="10.6640625" style="253" customWidth="1"/>
    <col min="17" max="18" width="10.6640625" style="260" customWidth="1"/>
    <col min="19" max="22" width="10.6640625" style="253" customWidth="1"/>
    <col min="23" max="30" width="10.6640625" style="260" customWidth="1"/>
    <col min="31" max="31" width="13.5546875" style="260" customWidth="1"/>
    <col min="32" max="32" width="20.6640625" style="260" customWidth="1"/>
    <col min="33" max="34" width="9.109375" style="260"/>
    <col min="35" max="36" width="9.109375" style="253"/>
    <col min="37" max="37" width="20.6640625" style="253" customWidth="1"/>
    <col min="38" max="16384" width="9.109375" style="253"/>
  </cols>
  <sheetData>
    <row r="1" spans="1:33" ht="15" customHeight="1" x14ac:dyDescent="0.25">
      <c r="A1" s="673" t="s">
        <v>232</v>
      </c>
      <c r="B1" s="587"/>
      <c r="C1" s="587"/>
      <c r="D1" s="587"/>
      <c r="E1" s="587"/>
      <c r="F1" s="587"/>
      <c r="G1" s="588"/>
      <c r="H1" s="588"/>
      <c r="I1" s="588"/>
      <c r="J1" s="588"/>
      <c r="K1" s="261"/>
      <c r="L1" s="261"/>
      <c r="M1" s="261"/>
      <c r="N1" s="261"/>
      <c r="O1" s="261"/>
      <c r="P1" s="261"/>
      <c r="Q1" s="261"/>
      <c r="R1" s="261"/>
      <c r="S1" s="261"/>
      <c r="T1" s="261"/>
      <c r="U1" s="261"/>
      <c r="V1" s="261"/>
      <c r="W1" s="261"/>
      <c r="X1" s="261"/>
      <c r="Y1" s="261"/>
      <c r="Z1" s="261"/>
      <c r="AA1" s="261"/>
      <c r="AB1" s="261"/>
      <c r="AC1" s="261"/>
      <c r="AD1" s="261"/>
      <c r="AE1" s="261"/>
      <c r="AF1" s="261"/>
      <c r="AG1" s="261"/>
    </row>
    <row r="2" spans="1:33" ht="15" customHeight="1" x14ac:dyDescent="0.25">
      <c r="A2" s="587"/>
      <c r="B2" s="674" t="s">
        <v>454</v>
      </c>
      <c r="C2" s="587"/>
      <c r="D2" s="587"/>
      <c r="E2" s="587"/>
      <c r="F2" s="533"/>
      <c r="G2" s="674" t="s">
        <v>645</v>
      </c>
      <c r="H2" s="675"/>
      <c r="I2" s="675"/>
      <c r="J2" s="675"/>
      <c r="K2" s="261"/>
      <c r="L2" s="261"/>
      <c r="M2" s="257"/>
      <c r="N2" s="257"/>
      <c r="O2" s="257"/>
      <c r="P2" s="261"/>
      <c r="Q2" s="261"/>
      <c r="R2" s="257"/>
      <c r="S2" s="257"/>
      <c r="T2" s="257"/>
      <c r="U2" s="261"/>
      <c r="V2" s="261"/>
      <c r="W2" s="257"/>
      <c r="X2" s="257"/>
      <c r="Y2" s="257"/>
      <c r="Z2" s="261"/>
      <c r="AA2" s="261"/>
      <c r="AB2" s="257"/>
      <c r="AC2" s="257"/>
      <c r="AD2" s="257"/>
      <c r="AE2" s="261"/>
      <c r="AF2" s="261"/>
      <c r="AG2" s="261"/>
    </row>
    <row r="3" spans="1:33" s="255" customFormat="1" ht="15" customHeight="1" x14ac:dyDescent="0.3">
      <c r="A3" s="676"/>
      <c r="B3" s="1805" t="s">
        <v>230</v>
      </c>
      <c r="C3" s="1922" t="s">
        <v>228</v>
      </c>
      <c r="D3" s="1922"/>
      <c r="E3" s="1922"/>
      <c r="F3" s="677"/>
      <c r="G3" s="1922" t="s">
        <v>228</v>
      </c>
      <c r="H3" s="1922"/>
      <c r="I3" s="1922"/>
      <c r="J3" s="679"/>
      <c r="K3" s="374"/>
      <c r="L3" s="276"/>
      <c r="M3" s="375"/>
      <c r="N3" s="375"/>
      <c r="O3" s="375"/>
      <c r="P3" s="374"/>
      <c r="Q3" s="276"/>
      <c r="R3" s="375"/>
      <c r="S3" s="375"/>
      <c r="T3" s="375"/>
      <c r="U3" s="374"/>
      <c r="V3" s="276"/>
      <c r="W3" s="375"/>
      <c r="X3" s="375"/>
      <c r="Y3" s="375"/>
      <c r="Z3" s="374"/>
      <c r="AA3" s="276"/>
      <c r="AB3" s="375"/>
      <c r="AC3" s="375"/>
      <c r="AD3" s="375"/>
      <c r="AE3" s="374"/>
      <c r="AF3" s="374"/>
      <c r="AG3" s="374"/>
    </row>
    <row r="4" spans="1:33" ht="15" customHeight="1" x14ac:dyDescent="0.3">
      <c r="A4" s="587"/>
      <c r="B4" s="1805"/>
      <c r="C4" s="680">
        <v>10000</v>
      </c>
      <c r="D4" s="680">
        <v>15000</v>
      </c>
      <c r="E4" s="680">
        <v>20000</v>
      </c>
      <c r="F4" s="533"/>
      <c r="G4" s="680">
        <v>10000</v>
      </c>
      <c r="H4" s="680">
        <v>15000</v>
      </c>
      <c r="I4" s="680">
        <v>20000</v>
      </c>
      <c r="J4" s="681"/>
      <c r="K4" s="261"/>
      <c r="L4" s="199"/>
      <c r="M4" s="376"/>
      <c r="N4" s="376"/>
      <c r="O4" s="376"/>
      <c r="P4" s="261"/>
      <c r="Q4" s="199"/>
      <c r="R4" s="376"/>
      <c r="S4" s="376"/>
      <c r="T4" s="376"/>
      <c r="U4" s="261"/>
      <c r="V4" s="199"/>
      <c r="W4" s="376"/>
      <c r="X4" s="376"/>
      <c r="Y4" s="376"/>
      <c r="Z4" s="261"/>
      <c r="AA4" s="199"/>
      <c r="AB4" s="376"/>
      <c r="AC4" s="376"/>
      <c r="AD4" s="376"/>
      <c r="AE4" s="261"/>
      <c r="AF4" s="261"/>
      <c r="AG4" s="261"/>
    </row>
    <row r="5" spans="1:33" ht="15" customHeight="1" x14ac:dyDescent="0.25">
      <c r="A5" s="587"/>
      <c r="B5" s="682" t="s">
        <v>205</v>
      </c>
      <c r="C5" s="683">
        <v>57.4</v>
      </c>
      <c r="D5" s="683">
        <v>43.9</v>
      </c>
      <c r="E5" s="683">
        <v>36.9</v>
      </c>
      <c r="F5" s="533"/>
      <c r="G5" s="873">
        <f>C5*'CPI Factors'!$J$33/'CPI Factors'!$J$32</f>
        <v>58.131949925576158</v>
      </c>
      <c r="H5" s="873">
        <f>D5*'CPI Factors'!$J$33/'CPI Factors'!$J$32</f>
        <v>44.459801423916261</v>
      </c>
      <c r="I5" s="873">
        <f>E5*'CPI Factors'!$J$33/'CPI Factors'!$J$32</f>
        <v>37.370539237870389</v>
      </c>
      <c r="J5" s="681"/>
      <c r="K5" s="261"/>
      <c r="L5" s="199"/>
      <c r="M5" s="376"/>
      <c r="N5" s="376"/>
      <c r="O5" s="376"/>
      <c r="P5" s="261"/>
      <c r="Q5" s="199"/>
      <c r="R5" s="376"/>
      <c r="S5" s="376"/>
      <c r="T5" s="376"/>
      <c r="U5" s="261"/>
      <c r="V5" s="199"/>
      <c r="W5" s="376"/>
      <c r="X5" s="376"/>
      <c r="Y5" s="376"/>
      <c r="Z5" s="261"/>
      <c r="AA5" s="199"/>
      <c r="AB5" s="376"/>
      <c r="AC5" s="376"/>
      <c r="AD5" s="376"/>
      <c r="AE5" s="261"/>
      <c r="AF5" s="261"/>
      <c r="AG5" s="261"/>
    </row>
    <row r="6" spans="1:33" ht="15" customHeight="1" x14ac:dyDescent="0.25">
      <c r="A6" s="587"/>
      <c r="B6" s="682" t="s">
        <v>206</v>
      </c>
      <c r="C6" s="683">
        <v>75.8</v>
      </c>
      <c r="D6" s="683">
        <v>57.4</v>
      </c>
      <c r="E6" s="683">
        <v>47.8</v>
      </c>
      <c r="F6" s="533"/>
      <c r="G6" s="873">
        <f>C6*'CPI Factors'!$J$33/'CPI Factors'!$J$32</f>
        <v>76.766581957468162</v>
      </c>
      <c r="H6" s="873">
        <f>D6*'CPI Factors'!$J$33/'CPI Factors'!$J$32</f>
        <v>58.131949925576158</v>
      </c>
      <c r="I6" s="873">
        <f>E6*'CPI Factors'!$J$33/'CPI Factors'!$J$32</f>
        <v>48.409533213284682</v>
      </c>
      <c r="J6" s="681"/>
      <c r="K6" s="261"/>
      <c r="L6" s="199"/>
      <c r="M6" s="376"/>
      <c r="N6" s="376"/>
      <c r="O6" s="376"/>
      <c r="P6" s="261"/>
      <c r="Q6" s="199"/>
      <c r="R6" s="376"/>
      <c r="S6" s="376"/>
      <c r="T6" s="376"/>
      <c r="U6" s="261"/>
      <c r="V6" s="199"/>
      <c r="W6" s="376"/>
      <c r="X6" s="376"/>
      <c r="Y6" s="376"/>
      <c r="Z6" s="261"/>
      <c r="AA6" s="199"/>
      <c r="AB6" s="376"/>
      <c r="AC6" s="376"/>
      <c r="AD6" s="376"/>
      <c r="AE6" s="261"/>
      <c r="AF6" s="261"/>
      <c r="AG6" s="261"/>
    </row>
    <row r="7" spans="1:33" ht="15" customHeight="1" x14ac:dyDescent="0.25">
      <c r="A7" s="587"/>
      <c r="B7" s="682" t="s">
        <v>207</v>
      </c>
      <c r="C7" s="683">
        <v>93.1</v>
      </c>
      <c r="D7" s="683">
        <v>69.900000000000006</v>
      </c>
      <c r="E7" s="683">
        <v>58</v>
      </c>
      <c r="F7" s="533"/>
      <c r="G7" s="873">
        <f>C7*'CPI Factors'!$J$33/'CPI Factors'!$J$32</f>
        <v>94.287187074410113</v>
      </c>
      <c r="H7" s="873">
        <f>D7*'CPI Factors'!$J$33/'CPI Factors'!$J$32</f>
        <v>70.791346686372364</v>
      </c>
      <c r="I7" s="873">
        <f>E7*'CPI Factors'!$J$33/'CPI Factors'!$J$32</f>
        <v>58.739600970094379</v>
      </c>
      <c r="J7" s="681"/>
      <c r="K7" s="261"/>
      <c r="L7" s="377"/>
      <c r="M7" s="376"/>
      <c r="N7" s="376"/>
      <c r="O7" s="376"/>
      <c r="P7" s="261"/>
      <c r="Q7" s="377"/>
      <c r="R7" s="376"/>
      <c r="S7" s="376"/>
      <c r="T7" s="376"/>
      <c r="U7" s="261"/>
      <c r="V7" s="377"/>
      <c r="W7" s="376"/>
      <c r="X7" s="376"/>
      <c r="Y7" s="376"/>
      <c r="Z7" s="261"/>
      <c r="AA7" s="377"/>
      <c r="AB7" s="376"/>
      <c r="AC7" s="376"/>
      <c r="AD7" s="376"/>
      <c r="AE7" s="261"/>
      <c r="AF7" s="261"/>
      <c r="AG7" s="261"/>
    </row>
    <row r="8" spans="1:33" ht="15" customHeight="1" x14ac:dyDescent="0.25">
      <c r="A8" s="587"/>
      <c r="B8" s="705" t="s">
        <v>229</v>
      </c>
      <c r="C8" s="683">
        <v>75.400000000000006</v>
      </c>
      <c r="D8" s="683">
        <v>57.1</v>
      </c>
      <c r="E8" s="683">
        <v>47.6</v>
      </c>
      <c r="F8" s="533"/>
      <c r="G8" s="873">
        <f>C8*'CPI Factors'!$J$33/'CPI Factors'!$J$32</f>
        <v>76.361481261122705</v>
      </c>
      <c r="H8" s="873">
        <f>D8*'CPI Factors'!$J$33/'CPI Factors'!$J$32</f>
        <v>57.828124403317055</v>
      </c>
      <c r="I8" s="873">
        <f>E8*'CPI Factors'!$J$33/'CPI Factors'!$J$32</f>
        <v>48.206982865111947</v>
      </c>
      <c r="J8" s="681"/>
      <c r="K8" s="261"/>
      <c r="L8" s="377"/>
      <c r="M8" s="376"/>
      <c r="N8" s="376"/>
      <c r="O8" s="376"/>
      <c r="P8" s="261"/>
      <c r="Q8" s="377"/>
      <c r="R8" s="376"/>
      <c r="S8" s="376"/>
      <c r="T8" s="376"/>
      <c r="U8" s="261"/>
      <c r="V8" s="377"/>
      <c r="W8" s="376"/>
      <c r="X8" s="376"/>
      <c r="Y8" s="376"/>
      <c r="Z8" s="261"/>
      <c r="AA8" s="377"/>
      <c r="AB8" s="376"/>
      <c r="AC8" s="376"/>
      <c r="AD8" s="376"/>
      <c r="AE8" s="261"/>
      <c r="AF8" s="261"/>
      <c r="AG8" s="261"/>
    </row>
    <row r="9" spans="1:33" ht="15" customHeight="1" x14ac:dyDescent="0.25">
      <c r="A9" s="587"/>
      <c r="B9" s="705" t="s">
        <v>209</v>
      </c>
      <c r="C9" s="683">
        <v>90.5</v>
      </c>
      <c r="D9" s="683">
        <v>68.400000000000006</v>
      </c>
      <c r="E9" s="683">
        <v>57.3</v>
      </c>
      <c r="F9" s="533"/>
      <c r="G9" s="873">
        <f>C9*'CPI Factors'!$J$33/'CPI Factors'!$J$32</f>
        <v>91.654032548164508</v>
      </c>
      <c r="H9" s="873">
        <f>D9*'CPI Factors'!$J$33/'CPI Factors'!$J$32</f>
        <v>69.272219075076819</v>
      </c>
      <c r="I9" s="873">
        <f>E9*'CPI Factors'!$J$33/'CPI Factors'!$J$32</f>
        <v>58.030674751489791</v>
      </c>
      <c r="J9" s="681"/>
      <c r="K9" s="261"/>
      <c r="L9" s="377"/>
      <c r="M9" s="376"/>
      <c r="N9" s="376"/>
      <c r="O9" s="376"/>
      <c r="P9" s="261"/>
      <c r="Q9" s="377"/>
      <c r="R9" s="376"/>
      <c r="S9" s="376"/>
      <c r="T9" s="376"/>
      <c r="U9" s="261"/>
      <c r="V9" s="377"/>
      <c r="W9" s="376"/>
      <c r="X9" s="376"/>
      <c r="Y9" s="376"/>
      <c r="Z9" s="261"/>
      <c r="AA9" s="377"/>
      <c r="AB9" s="376"/>
      <c r="AC9" s="376"/>
      <c r="AD9" s="376"/>
      <c r="AE9" s="261"/>
      <c r="AF9" s="261"/>
      <c r="AG9" s="261"/>
    </row>
    <row r="10" spans="1:33" ht="15" customHeight="1" x14ac:dyDescent="0.25">
      <c r="A10" s="587"/>
      <c r="B10" s="705" t="s">
        <v>210</v>
      </c>
      <c r="C10" s="683">
        <v>82.1</v>
      </c>
      <c r="D10" s="683">
        <v>61.8</v>
      </c>
      <c r="E10" s="683">
        <v>51.5</v>
      </c>
      <c r="F10" s="533"/>
      <c r="G10" s="873">
        <f>C10*'CPI Factors'!$J$33/'CPI Factors'!$J$32</f>
        <v>83.146917924909445</v>
      </c>
      <c r="H10" s="873">
        <f>D10*'CPI Factors'!$J$33/'CPI Factors'!$J$32</f>
        <v>62.588057585376426</v>
      </c>
      <c r="I10" s="873">
        <f>E10*'CPI Factors'!$J$33/'CPI Factors'!$J$32</f>
        <v>52.156714654480353</v>
      </c>
      <c r="J10" s="684"/>
      <c r="K10" s="261"/>
      <c r="L10" s="257"/>
      <c r="M10" s="378"/>
      <c r="N10" s="378"/>
      <c r="O10" s="378"/>
      <c r="P10" s="261"/>
      <c r="Q10" s="257"/>
      <c r="R10" s="378"/>
      <c r="S10" s="378"/>
      <c r="T10" s="378"/>
      <c r="U10" s="261"/>
      <c r="V10" s="257"/>
      <c r="W10" s="378"/>
      <c r="X10" s="378"/>
      <c r="Y10" s="378"/>
      <c r="Z10" s="261"/>
      <c r="AA10" s="257"/>
      <c r="AB10" s="378"/>
      <c r="AC10" s="378"/>
      <c r="AD10" s="378"/>
      <c r="AE10" s="261"/>
      <c r="AF10" s="261"/>
      <c r="AG10" s="261"/>
    </row>
    <row r="11" spans="1:33" s="260" customFormat="1" ht="15" customHeight="1" x14ac:dyDescent="0.25">
      <c r="A11" s="685"/>
      <c r="B11" s="686" t="s">
        <v>231</v>
      </c>
      <c r="C11" s="683">
        <v>82.7</v>
      </c>
      <c r="D11" s="687">
        <v>62.4</v>
      </c>
      <c r="E11" s="683">
        <v>52.1</v>
      </c>
      <c r="F11" s="533"/>
      <c r="G11" s="873">
        <f>C11*'CPI Factors'!$J$33/'CPI Factors'!$J$32</f>
        <v>83.75456896942768</v>
      </c>
      <c r="H11" s="873">
        <f>D11*'CPI Factors'!$J$33/'CPI Factors'!$J$32</f>
        <v>63.195708629894639</v>
      </c>
      <c r="I11" s="873">
        <f>E11*'CPI Factors'!$J$33/'CPI Factors'!$J$32</f>
        <v>52.764365698998574</v>
      </c>
      <c r="J11" s="588"/>
      <c r="K11" s="261"/>
      <c r="L11" s="261"/>
      <c r="M11" s="261"/>
      <c r="N11" s="261"/>
      <c r="O11" s="261"/>
      <c r="P11" s="261"/>
      <c r="Q11" s="261"/>
      <c r="R11" s="261"/>
      <c r="S11" s="261"/>
      <c r="T11" s="261"/>
      <c r="U11" s="261"/>
      <c r="V11" s="261"/>
      <c r="W11" s="261"/>
      <c r="X11" s="261"/>
      <c r="Y11" s="261"/>
      <c r="Z11" s="261"/>
      <c r="AA11" s="261"/>
      <c r="AB11" s="261"/>
      <c r="AC11" s="261"/>
      <c r="AD11" s="261"/>
      <c r="AE11" s="261"/>
      <c r="AF11" s="261"/>
      <c r="AG11" s="261"/>
    </row>
    <row r="12" spans="1:33" s="260" customFormat="1" ht="42.75" customHeight="1" x14ac:dyDescent="0.25">
      <c r="A12" s="685"/>
      <c r="B12" s="1924" t="s">
        <v>453</v>
      </c>
      <c r="C12" s="1924"/>
      <c r="D12" s="1924"/>
      <c r="E12" s="1924"/>
      <c r="F12" s="533"/>
      <c r="G12" s="685"/>
      <c r="H12" s="685"/>
      <c r="I12" s="685"/>
      <c r="J12" s="685"/>
      <c r="K12" s="264"/>
      <c r="L12" s="257"/>
      <c r="M12" s="253"/>
      <c r="N12" s="253"/>
      <c r="O12" s="253"/>
      <c r="Q12" s="253"/>
      <c r="R12" s="253"/>
      <c r="S12" s="253"/>
      <c r="T12" s="253"/>
    </row>
    <row r="13" spans="1:33" ht="69.75" customHeight="1" x14ac:dyDescent="0.25">
      <c r="A13" s="587"/>
      <c r="B13" s="1923" t="s">
        <v>452</v>
      </c>
      <c r="C13" s="1923"/>
      <c r="D13" s="1923"/>
      <c r="E13" s="1923"/>
      <c r="F13" s="688"/>
      <c r="G13" s="688"/>
      <c r="H13" s="688"/>
      <c r="I13" s="688"/>
      <c r="J13" s="688"/>
      <c r="K13" s="410"/>
      <c r="S13" s="260"/>
      <c r="T13" s="260"/>
      <c r="U13" s="260"/>
      <c r="V13" s="260"/>
    </row>
    <row r="14" spans="1:33" ht="15" x14ac:dyDescent="0.2">
      <c r="A14" s="587"/>
      <c r="B14" s="689"/>
      <c r="C14" s="587"/>
      <c r="D14" s="587"/>
      <c r="E14" s="587"/>
      <c r="F14" s="587"/>
      <c r="G14" s="587"/>
      <c r="H14" s="587"/>
      <c r="I14" s="587"/>
      <c r="J14" s="587"/>
      <c r="S14" s="260"/>
      <c r="T14" s="260"/>
      <c r="U14" s="260"/>
      <c r="V14" s="260"/>
    </row>
    <row r="15" spans="1:33" ht="15" x14ac:dyDescent="0.25">
      <c r="A15" s="587"/>
      <c r="B15" s="706"/>
      <c r="C15" s="587"/>
      <c r="D15" s="587"/>
      <c r="E15" s="587"/>
      <c r="F15" s="587"/>
      <c r="G15" s="587"/>
      <c r="H15" s="587"/>
      <c r="I15" s="587"/>
      <c r="J15" s="587"/>
      <c r="S15" s="260"/>
      <c r="T15" s="260"/>
      <c r="U15" s="260"/>
      <c r="V15" s="260"/>
    </row>
    <row r="16" spans="1:33" ht="15" x14ac:dyDescent="0.25">
      <c r="A16" s="587"/>
      <c r="B16" s="675"/>
      <c r="C16" s="587"/>
      <c r="D16" s="587"/>
      <c r="E16" s="587"/>
      <c r="F16" s="587"/>
      <c r="G16" s="587"/>
      <c r="H16" s="587"/>
      <c r="I16" s="587"/>
      <c r="J16" s="587"/>
      <c r="S16" s="260"/>
      <c r="T16" s="260"/>
      <c r="U16" s="260"/>
      <c r="V16" s="260"/>
    </row>
    <row r="17" spans="1:26" ht="18" x14ac:dyDescent="0.25">
      <c r="A17" s="673" t="s">
        <v>58</v>
      </c>
      <c r="B17" s="587"/>
      <c r="C17" s="587"/>
      <c r="D17" s="587"/>
      <c r="E17" s="587"/>
      <c r="F17" s="587"/>
      <c r="G17" s="587"/>
      <c r="H17" s="587"/>
      <c r="I17" s="587"/>
      <c r="J17" s="587"/>
      <c r="W17" s="253"/>
      <c r="X17" s="253"/>
      <c r="Y17" s="253"/>
      <c r="Z17" s="253"/>
    </row>
    <row r="18" spans="1:26" ht="15" x14ac:dyDescent="0.25">
      <c r="A18" s="587"/>
      <c r="B18" s="690" t="s">
        <v>455</v>
      </c>
      <c r="C18" s="587"/>
      <c r="D18" s="587"/>
      <c r="E18" s="587"/>
      <c r="F18" s="587"/>
      <c r="G18" s="587"/>
      <c r="H18" s="587"/>
      <c r="I18" s="587"/>
      <c r="J18" s="587"/>
      <c r="W18" s="253"/>
      <c r="X18" s="253"/>
      <c r="Y18" s="253"/>
      <c r="Z18" s="253"/>
    </row>
    <row r="19" spans="1:26" ht="15" x14ac:dyDescent="0.25">
      <c r="A19" s="587"/>
      <c r="B19" s="691" t="s">
        <v>204</v>
      </c>
      <c r="C19" s="691">
        <v>2015</v>
      </c>
      <c r="D19" s="691">
        <v>2016</v>
      </c>
      <c r="E19" s="588"/>
      <c r="F19" s="678"/>
      <c r="G19" s="588"/>
      <c r="H19" s="692"/>
      <c r="I19" s="692"/>
      <c r="J19" s="692"/>
      <c r="K19" s="256"/>
      <c r="M19" s="276"/>
      <c r="N19" s="276"/>
      <c r="O19" s="276"/>
      <c r="P19" s="264"/>
      <c r="Q19" s="261"/>
      <c r="W19" s="253"/>
      <c r="X19" s="253"/>
      <c r="Y19" s="253"/>
      <c r="Z19" s="253"/>
    </row>
    <row r="20" spans="1:26" ht="15" customHeight="1" x14ac:dyDescent="0.25">
      <c r="A20" s="587"/>
      <c r="B20" s="693" t="s">
        <v>212</v>
      </c>
      <c r="C20" s="694">
        <v>0.40100000000000002</v>
      </c>
      <c r="D20" s="872">
        <f>C20*'CPI Factors'!$J$33/'CPI Factors'!$J$32</f>
        <v>0.4061134480863422</v>
      </c>
      <c r="E20" s="533"/>
      <c r="F20" s="695"/>
      <c r="G20" s="533"/>
      <c r="H20" s="696"/>
      <c r="I20" s="696"/>
      <c r="J20" s="697"/>
      <c r="K20" s="274"/>
      <c r="M20" s="199"/>
      <c r="N20" s="277"/>
      <c r="O20" s="277"/>
      <c r="P20" s="264"/>
      <c r="Q20" s="261"/>
      <c r="W20" s="253"/>
      <c r="X20" s="253"/>
      <c r="Y20" s="253"/>
      <c r="Z20" s="253"/>
    </row>
    <row r="21" spans="1:26" ht="30" customHeight="1" x14ac:dyDescent="0.25">
      <c r="A21" s="587"/>
      <c r="B21" s="698" t="s">
        <v>213</v>
      </c>
      <c r="C21" s="694">
        <v>0.247</v>
      </c>
      <c r="D21" s="872">
        <f>C21*'CPI Factors'!$J$33/'CPI Factors'!$J$32</f>
        <v>0.25014967999333299</v>
      </c>
      <c r="E21" s="533"/>
      <c r="F21" s="695"/>
      <c r="G21" s="533"/>
      <c r="H21" s="696"/>
      <c r="I21" s="696"/>
      <c r="J21" s="697"/>
      <c r="K21" s="274"/>
      <c r="M21" s="278"/>
      <c r="N21" s="277"/>
      <c r="O21" s="277"/>
      <c r="P21" s="264"/>
      <c r="Q21" s="261"/>
      <c r="W21" s="253"/>
      <c r="X21" s="253"/>
      <c r="Y21" s="253"/>
      <c r="Z21" s="253"/>
    </row>
    <row r="22" spans="1:26" ht="15" customHeight="1" x14ac:dyDescent="0.25">
      <c r="A22" s="587"/>
      <c r="B22" s="698" t="s">
        <v>214</v>
      </c>
      <c r="C22" s="694">
        <v>0.151</v>
      </c>
      <c r="D22" s="872">
        <f>C22*'CPI Factors'!$J$33/'CPI Factors'!$J$32</f>
        <v>0.15292551287041811</v>
      </c>
      <c r="E22" s="533"/>
      <c r="F22" s="695"/>
      <c r="G22" s="533"/>
      <c r="H22" s="696"/>
      <c r="I22" s="696"/>
      <c r="J22" s="697"/>
      <c r="K22" s="274"/>
      <c r="M22" s="199"/>
      <c r="N22" s="277"/>
      <c r="O22" s="277"/>
      <c r="P22" s="264"/>
      <c r="Q22" s="261"/>
      <c r="W22" s="253"/>
      <c r="X22" s="253"/>
      <c r="Y22" s="253"/>
      <c r="Z22" s="253"/>
    </row>
    <row r="23" spans="1:26" ht="15" customHeight="1" x14ac:dyDescent="0.25">
      <c r="A23" s="587"/>
      <c r="B23" s="699" t="s">
        <v>215</v>
      </c>
      <c r="C23" s="694">
        <v>6.5000000000000002E-2</v>
      </c>
      <c r="D23" s="872">
        <f>C23*'CPI Factors'!$J$33/'CPI Factors'!$J$32</f>
        <v>6.5828863156140255E-2</v>
      </c>
      <c r="E23" s="533"/>
      <c r="F23" s="695"/>
      <c r="G23" s="533"/>
      <c r="H23" s="696"/>
      <c r="I23" s="696"/>
      <c r="J23" s="697"/>
      <c r="K23" s="274"/>
      <c r="M23" s="199"/>
      <c r="N23" s="277"/>
      <c r="O23" s="277"/>
      <c r="P23" s="264"/>
      <c r="Q23" s="261"/>
      <c r="W23" s="253"/>
      <c r="X23" s="253"/>
      <c r="Y23" s="253"/>
      <c r="Z23" s="253"/>
    </row>
    <row r="24" spans="1:26" ht="15" customHeight="1" x14ac:dyDescent="0.25">
      <c r="A24" s="587"/>
      <c r="B24" s="699" t="s">
        <v>216</v>
      </c>
      <c r="C24" s="694">
        <v>1.7000000000000001E-2</v>
      </c>
      <c r="D24" s="872">
        <f>C24*'CPI Factors'!$J$33/'CPI Factors'!$J$32</f>
        <v>1.7216779594682836E-2</v>
      </c>
      <c r="E24" s="533"/>
      <c r="F24" s="695"/>
      <c r="G24" s="533"/>
      <c r="H24" s="696"/>
      <c r="I24" s="696"/>
      <c r="J24" s="697"/>
      <c r="K24" s="274"/>
      <c r="M24" s="199"/>
      <c r="N24" s="277"/>
      <c r="O24" s="277"/>
      <c r="P24" s="264"/>
      <c r="Q24" s="261"/>
      <c r="W24" s="253"/>
      <c r="X24" s="253"/>
      <c r="Y24" s="253"/>
      <c r="Z24" s="253"/>
    </row>
    <row r="25" spans="1:26" ht="15" customHeight="1" x14ac:dyDescent="0.25">
      <c r="A25" s="587"/>
      <c r="B25" s="693" t="s">
        <v>217</v>
      </c>
      <c r="C25" s="694">
        <v>4.2000000000000003E-2</v>
      </c>
      <c r="D25" s="872">
        <f>C25*'CPI Factors'!$J$33/'CPI Factors'!$J$32</f>
        <v>4.2535573116275247E-2</v>
      </c>
      <c r="E25" s="533"/>
      <c r="F25" s="695"/>
      <c r="G25" s="533"/>
      <c r="H25" s="696"/>
      <c r="I25" s="696"/>
      <c r="J25" s="697"/>
      <c r="K25" s="274"/>
      <c r="M25" s="199"/>
      <c r="N25" s="277"/>
      <c r="O25" s="277"/>
      <c r="P25" s="264"/>
      <c r="Q25" s="261"/>
      <c r="W25" s="253"/>
      <c r="X25" s="253"/>
      <c r="Y25" s="253"/>
      <c r="Z25" s="253"/>
    </row>
    <row r="26" spans="1:26" ht="15" customHeight="1" x14ac:dyDescent="0.25">
      <c r="A26" s="587"/>
      <c r="B26" s="682" t="s">
        <v>218</v>
      </c>
      <c r="C26" s="694">
        <v>2.5000000000000001E-2</v>
      </c>
      <c r="D26" s="872">
        <f>C26*'CPI Factors'!$J$33/'CPI Factors'!$J$32</f>
        <v>2.5318793521592407E-2</v>
      </c>
      <c r="E26" s="533"/>
      <c r="F26" s="695"/>
      <c r="G26" s="533"/>
      <c r="H26" s="696"/>
      <c r="I26" s="696"/>
      <c r="J26" s="697"/>
      <c r="K26" s="274"/>
      <c r="M26" s="199"/>
      <c r="N26" s="277"/>
      <c r="O26" s="277"/>
      <c r="P26" s="264"/>
      <c r="Q26" s="261"/>
      <c r="W26" s="253"/>
      <c r="X26" s="253"/>
      <c r="Y26" s="253"/>
      <c r="Z26" s="253"/>
    </row>
    <row r="27" spans="1:26" ht="15" customHeight="1" x14ac:dyDescent="0.25">
      <c r="A27" s="587"/>
      <c r="B27" s="700" t="s">
        <v>208</v>
      </c>
      <c r="C27" s="709">
        <f>SUM(C20:C26)</f>
        <v>0.94800000000000018</v>
      </c>
      <c r="D27" s="709">
        <f>SUM(D20:D26)</f>
        <v>0.96008865033878388</v>
      </c>
      <c r="E27" s="533"/>
      <c r="F27" s="695"/>
      <c r="G27" s="533"/>
      <c r="H27" s="701"/>
      <c r="I27" s="701"/>
      <c r="J27" s="701"/>
      <c r="K27" s="275"/>
      <c r="M27" s="270"/>
      <c r="N27" s="277"/>
      <c r="O27" s="279"/>
      <c r="P27" s="264"/>
      <c r="Q27" s="261"/>
      <c r="W27" s="253"/>
      <c r="X27" s="253"/>
      <c r="Y27" s="253"/>
      <c r="Z27" s="253"/>
    </row>
    <row r="28" spans="1:26" ht="15" x14ac:dyDescent="0.25">
      <c r="A28" s="587"/>
      <c r="B28" s="587" t="s">
        <v>456</v>
      </c>
      <c r="C28" s="587"/>
      <c r="D28" s="587"/>
      <c r="E28" s="587"/>
      <c r="F28" s="587"/>
      <c r="G28" s="587"/>
      <c r="H28" s="587"/>
      <c r="I28" s="587"/>
      <c r="J28" s="587"/>
      <c r="W28" s="253"/>
      <c r="X28" s="253"/>
      <c r="Y28" s="253"/>
      <c r="Z28" s="253"/>
    </row>
    <row r="29" spans="1:26" ht="15" x14ac:dyDescent="0.25">
      <c r="A29" s="587"/>
      <c r="B29" s="281" t="s">
        <v>458</v>
      </c>
      <c r="C29" s="587"/>
      <c r="D29" s="702"/>
      <c r="E29" s="703"/>
      <c r="F29" s="704"/>
      <c r="G29" s="704"/>
      <c r="H29" s="704"/>
      <c r="I29" s="703"/>
      <c r="J29" s="587"/>
      <c r="L29" s="285"/>
    </row>
    <row r="30" spans="1:26" ht="15" x14ac:dyDescent="0.25">
      <c r="A30" s="587"/>
      <c r="B30" s="281"/>
      <c r="C30" s="587"/>
      <c r="D30" s="702"/>
      <c r="E30" s="703"/>
      <c r="F30" s="704"/>
      <c r="G30" s="704"/>
      <c r="H30" s="704"/>
      <c r="I30" s="703"/>
      <c r="J30" s="587"/>
      <c r="L30" s="285"/>
    </row>
    <row r="31" spans="1:26" ht="15" x14ac:dyDescent="0.25">
      <c r="A31" s="587"/>
      <c r="B31" s="281"/>
      <c r="C31" s="587"/>
      <c r="D31" s="702"/>
      <c r="E31" s="703"/>
      <c r="F31" s="704"/>
      <c r="G31" s="704"/>
      <c r="H31" s="704"/>
      <c r="I31" s="703"/>
      <c r="J31" s="587"/>
      <c r="L31" s="285"/>
    </row>
    <row r="32" spans="1:26" ht="15" x14ac:dyDescent="0.25">
      <c r="A32" s="587"/>
      <c r="B32" s="587"/>
      <c r="C32" s="587"/>
      <c r="D32" s="702"/>
      <c r="E32" s="703"/>
      <c r="F32" s="704"/>
      <c r="G32" s="704"/>
      <c r="H32" s="704"/>
      <c r="I32" s="703"/>
      <c r="J32" s="587"/>
      <c r="L32" s="285"/>
    </row>
    <row r="33" spans="1:12" ht="18" x14ac:dyDescent="0.25">
      <c r="A33" s="673" t="s">
        <v>555</v>
      </c>
      <c r="C33" s="587"/>
      <c r="D33" s="702"/>
      <c r="E33" s="703"/>
      <c r="F33" s="704"/>
      <c r="G33" s="704"/>
      <c r="H33" s="704"/>
      <c r="I33" s="703"/>
      <c r="J33" s="587"/>
      <c r="L33" s="285"/>
    </row>
    <row r="34" spans="1:12" x14ac:dyDescent="0.3">
      <c r="A34" s="587"/>
      <c r="B34" s="1925" t="s">
        <v>346</v>
      </c>
      <c r="C34" s="778" t="s">
        <v>553</v>
      </c>
      <c r="D34" s="779" t="s">
        <v>554</v>
      </c>
      <c r="E34" s="780" t="s">
        <v>554</v>
      </c>
      <c r="F34" s="784"/>
      <c r="G34" s="704"/>
      <c r="H34" s="704"/>
      <c r="I34" s="703"/>
      <c r="J34" s="587"/>
      <c r="L34" s="285"/>
    </row>
    <row r="35" spans="1:12" x14ac:dyDescent="0.3">
      <c r="A35" s="587"/>
      <c r="B35" s="1925"/>
      <c r="C35" s="781" t="s">
        <v>552</v>
      </c>
      <c r="D35" s="782" t="s">
        <v>552</v>
      </c>
      <c r="E35" s="783" t="s">
        <v>590</v>
      </c>
      <c r="F35" s="784"/>
      <c r="G35" s="704"/>
      <c r="H35" s="704"/>
      <c r="I35" s="703"/>
      <c r="J35" s="587"/>
      <c r="L35" s="285"/>
    </row>
    <row r="36" spans="1:12" x14ac:dyDescent="0.3">
      <c r="B36" s="544" t="s">
        <v>385</v>
      </c>
      <c r="C36" s="777">
        <v>30.3</v>
      </c>
      <c r="D36" s="787">
        <f>C36/100</f>
        <v>0.30299999999999999</v>
      </c>
      <c r="E36" s="788">
        <f>D36*'CPI Factors'!J33/'CPI Factors'!J28</f>
        <v>0.32332310501816169</v>
      </c>
      <c r="F36" s="785"/>
      <c r="G36" s="283"/>
      <c r="H36" s="283"/>
      <c r="I36" s="284"/>
      <c r="L36" s="285"/>
    </row>
    <row r="37" spans="1:12" x14ac:dyDescent="0.3">
      <c r="B37" s="544" t="s">
        <v>347</v>
      </c>
      <c r="C37" s="544">
        <v>41.9</v>
      </c>
      <c r="D37" s="786">
        <f>C37/100</f>
        <v>0.41899999999999998</v>
      </c>
      <c r="E37" s="793">
        <f>D37*'CPI Factors'!J33/'CPI Factors'!J28</f>
        <v>0.44710356766537879</v>
      </c>
      <c r="F37" s="785"/>
      <c r="G37" s="283"/>
      <c r="H37" s="283"/>
      <c r="I37" s="284"/>
      <c r="L37" s="285"/>
    </row>
    <row r="38" spans="1:12" ht="64.5" customHeight="1" x14ac:dyDescent="0.3">
      <c r="B38" s="1921" t="s">
        <v>557</v>
      </c>
      <c r="C38" s="1921"/>
      <c r="D38" s="1921"/>
      <c r="E38" s="1921"/>
      <c r="F38" s="1921"/>
      <c r="G38" s="1921"/>
      <c r="H38" s="1921"/>
      <c r="I38" s="284"/>
      <c r="L38" s="285"/>
    </row>
    <row r="39" spans="1:12" x14ac:dyDescent="0.3">
      <c r="D39" s="282"/>
      <c r="E39" s="284"/>
      <c r="F39" s="283"/>
      <c r="G39" s="283"/>
      <c r="H39" s="283"/>
      <c r="I39" s="284"/>
      <c r="L39" s="285"/>
    </row>
    <row r="67" spans="2:8" ht="54.75" customHeight="1" x14ac:dyDescent="0.3">
      <c r="B67" s="1921" t="s">
        <v>556</v>
      </c>
      <c r="C67" s="1921"/>
      <c r="D67" s="1921"/>
      <c r="E67" s="1921"/>
      <c r="F67" s="1921"/>
      <c r="G67" s="1921"/>
      <c r="H67" s="1921"/>
    </row>
    <row r="69" spans="2:8" x14ac:dyDescent="0.3">
      <c r="B69" s="587"/>
      <c r="C69" s="587"/>
      <c r="D69" s="702"/>
      <c r="E69" s="703"/>
    </row>
  </sheetData>
  <mergeCells count="8">
    <mergeCell ref="B67:H67"/>
    <mergeCell ref="B38:H38"/>
    <mergeCell ref="C3:E3"/>
    <mergeCell ref="B3:B4"/>
    <mergeCell ref="B13:E13"/>
    <mergeCell ref="B12:E12"/>
    <mergeCell ref="B34:B35"/>
    <mergeCell ref="G3:I3"/>
  </mergeCells>
  <hyperlinks>
    <hyperlink ref="B29" r:id="rId1"/>
  </hyperlinks>
  <pageMargins left="0.7" right="0.2" top="0.75" bottom="0.75" header="0.3" footer="0.3"/>
  <pageSetup paperSize="3"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B5:H245"/>
  <sheetViews>
    <sheetView workbookViewId="0"/>
  </sheetViews>
  <sheetFormatPr defaultRowHeight="13.2" x14ac:dyDescent="0.25"/>
  <cols>
    <col min="1" max="1" width="9.109375" style="737"/>
    <col min="2" max="2" width="5.44140625" style="737" customWidth="1"/>
    <col min="3" max="3" width="9.109375" style="737"/>
    <col min="4" max="4" width="11.44140625" style="737" customWidth="1"/>
    <col min="5" max="5" width="12" style="737" customWidth="1"/>
    <col min="6" max="6" width="5.44140625" style="737" customWidth="1"/>
    <col min="7" max="8" width="9.33203125" style="737" customWidth="1"/>
    <col min="9" max="138" width="9.109375" style="737"/>
    <col min="139" max="139" width="5.88671875" style="737" customWidth="1"/>
    <col min="140" max="140" width="5.6640625" style="737" customWidth="1"/>
    <col min="141" max="141" width="35.5546875" style="737" customWidth="1"/>
    <col min="142" max="142" width="14.5546875" style="737" customWidth="1"/>
    <col min="143" max="143" width="14.44140625" style="737" customWidth="1"/>
    <col min="144" max="144" width="5.6640625" style="737" customWidth="1"/>
    <col min="145" max="145" width="14.5546875" style="737" customWidth="1"/>
    <col min="146" max="147" width="5.88671875" style="737" customWidth="1"/>
    <col min="148" max="148" width="26.6640625" style="737" customWidth="1"/>
    <col min="149" max="152" width="11.33203125" style="737" customWidth="1"/>
    <col min="153" max="153" width="5.5546875" style="737" customWidth="1"/>
    <col min="154" max="154" width="14.5546875" style="737" customWidth="1"/>
    <col min="155" max="155" width="5.6640625" style="737" customWidth="1"/>
    <col min="156" max="156" width="30.88671875" style="737" bestFit="1" customWidth="1"/>
    <col min="157" max="157" width="9.109375" style="737"/>
    <col min="158" max="158" width="10.88671875" style="737" bestFit="1" customWidth="1"/>
    <col min="159" max="159" width="42.44140625" style="737" customWidth="1"/>
    <col min="160" max="160" width="5.88671875" style="737" customWidth="1"/>
    <col min="161" max="161" width="14.44140625" style="737" customWidth="1"/>
    <col min="162" max="162" width="5.5546875" style="737" customWidth="1"/>
    <col min="163" max="163" width="16" style="737" bestFit="1" customWidth="1"/>
    <col min="164" max="169" width="10.33203125" style="737" customWidth="1"/>
    <col min="170" max="170" width="5.5546875" style="737" customWidth="1"/>
    <col min="171" max="171" width="9.5546875" style="737" customWidth="1"/>
    <col min="172" max="172" width="9.109375" style="737"/>
    <col min="173" max="173" width="5.44140625" style="737" customWidth="1"/>
    <col min="174" max="176" width="9.109375" style="737"/>
    <col min="177" max="177" width="5.44140625" style="737" customWidth="1"/>
    <col min="178" max="179" width="9.33203125" style="737" customWidth="1"/>
    <col min="180" max="180" width="5.44140625" style="737" customWidth="1"/>
    <col min="181" max="181" width="21.6640625" style="737" bestFit="1" customWidth="1"/>
    <col min="182" max="185" width="11.44140625" style="737" customWidth="1"/>
    <col min="186" max="186" width="5.44140625" style="737" customWidth="1"/>
    <col min="187" max="187" width="9.109375" style="737"/>
    <col min="188" max="188" width="5.5546875" style="737" customWidth="1"/>
    <col min="189" max="189" width="16.88671875" style="737" customWidth="1"/>
    <col min="190" max="192" width="14.5546875" style="737" customWidth="1"/>
    <col min="193" max="193" width="5.5546875" style="737" customWidth="1"/>
    <col min="194" max="195" width="9.109375" style="737"/>
    <col min="196" max="196" width="5.6640625" style="737" customWidth="1"/>
    <col min="197" max="197" width="9.109375" style="737"/>
    <col min="198" max="198" width="9" style="737" customWidth="1"/>
    <col min="199" max="199" width="9.44140625" style="737" bestFit="1" customWidth="1"/>
    <col min="200" max="200" width="10.44140625" style="737" bestFit="1" customWidth="1"/>
    <col min="201" max="204" width="9.44140625" style="737" bestFit="1" customWidth="1"/>
    <col min="205" max="205" width="5.6640625" style="737" customWidth="1"/>
    <col min="206" max="206" width="9.109375" style="737"/>
    <col min="207" max="207" width="5.6640625" style="737" customWidth="1"/>
    <col min="208" max="208" width="9.109375" style="737"/>
    <col min="209" max="209" width="9" style="737" customWidth="1"/>
    <col min="210" max="210" width="9.44140625" style="737" bestFit="1" customWidth="1"/>
    <col min="211" max="211" width="9.88671875" style="737" bestFit="1" customWidth="1"/>
    <col min="212" max="215" width="9.44140625" style="737" bestFit="1" customWidth="1"/>
    <col min="216" max="216" width="5.6640625" style="737" customWidth="1"/>
    <col min="217" max="217" width="9.109375" style="737"/>
    <col min="218" max="218" width="5.5546875" style="737" customWidth="1"/>
    <col min="219" max="219" width="16.44140625" style="737" customWidth="1"/>
    <col min="220" max="220" width="10.6640625" style="737" customWidth="1"/>
    <col min="221" max="226" width="9.5546875" style="737" customWidth="1"/>
    <col min="227" max="227" width="5.5546875" style="737" customWidth="1"/>
    <col min="228" max="229" width="9.109375" style="737"/>
    <col min="230" max="230" width="5.44140625" style="737" customWidth="1"/>
    <col min="231" max="231" width="8.109375" style="737" customWidth="1"/>
    <col min="232" max="232" width="9.33203125" style="737" customWidth="1"/>
    <col min="233" max="233" width="10.6640625" style="737" customWidth="1"/>
    <col min="234" max="234" width="9.33203125" style="737" customWidth="1"/>
    <col min="235" max="235" width="5.44140625" style="737" customWidth="1"/>
    <col min="236" max="236" width="9.109375" style="737"/>
    <col min="237" max="237" width="5.44140625" style="737" customWidth="1"/>
    <col min="238" max="240" width="9.44140625" style="737" customWidth="1"/>
    <col min="241" max="241" width="5.44140625" style="737" customWidth="1"/>
    <col min="242" max="243" width="9.109375" style="737"/>
    <col min="244" max="244" width="5.44140625" style="737" customWidth="1"/>
    <col min="245" max="245" width="13.5546875" style="737" customWidth="1"/>
    <col min="246" max="246" width="13.6640625" style="737" customWidth="1"/>
    <col min="247" max="247" width="13.5546875" style="737" customWidth="1"/>
    <col min="248" max="248" width="5.44140625" style="737" customWidth="1"/>
    <col min="249" max="250" width="9.109375" style="737"/>
    <col min="251" max="251" width="5.44140625" style="737" customWidth="1"/>
    <col min="252" max="252" width="11.109375" style="737" bestFit="1" customWidth="1"/>
    <col min="253" max="260" width="9.44140625" style="737" customWidth="1"/>
    <col min="261" max="261" width="5.44140625" style="737" customWidth="1"/>
    <col min="262" max="394" width="9.109375" style="737"/>
    <col min="395" max="395" width="5.88671875" style="737" customWidth="1"/>
    <col min="396" max="396" width="5.6640625" style="737" customWidth="1"/>
    <col min="397" max="397" width="35.5546875" style="737" customWidth="1"/>
    <col min="398" max="398" width="14.5546875" style="737" customWidth="1"/>
    <col min="399" max="399" width="14.44140625" style="737" customWidth="1"/>
    <col min="400" max="400" width="5.6640625" style="737" customWidth="1"/>
    <col min="401" max="401" width="14.5546875" style="737" customWidth="1"/>
    <col min="402" max="403" width="5.88671875" style="737" customWidth="1"/>
    <col min="404" max="404" width="26.6640625" style="737" customWidth="1"/>
    <col min="405" max="408" width="11.33203125" style="737" customWidth="1"/>
    <col min="409" max="409" width="5.5546875" style="737" customWidth="1"/>
    <col min="410" max="410" width="14.5546875" style="737" customWidth="1"/>
    <col min="411" max="411" width="5.6640625" style="737" customWidth="1"/>
    <col min="412" max="412" width="30.88671875" style="737" bestFit="1" customWidth="1"/>
    <col min="413" max="413" width="9.109375" style="737"/>
    <col min="414" max="414" width="10.88671875" style="737" bestFit="1" customWidth="1"/>
    <col min="415" max="415" width="42.44140625" style="737" customWidth="1"/>
    <col min="416" max="416" width="5.88671875" style="737" customWidth="1"/>
    <col min="417" max="417" width="14.44140625" style="737" customWidth="1"/>
    <col min="418" max="418" width="5.5546875" style="737" customWidth="1"/>
    <col min="419" max="419" width="16" style="737" bestFit="1" customWidth="1"/>
    <col min="420" max="425" width="10.33203125" style="737" customWidth="1"/>
    <col min="426" max="426" width="5.5546875" style="737" customWidth="1"/>
    <col min="427" max="427" width="9.5546875" style="737" customWidth="1"/>
    <col min="428" max="428" width="9.109375" style="737"/>
    <col min="429" max="429" width="5.44140625" style="737" customWidth="1"/>
    <col min="430" max="432" width="9.109375" style="737"/>
    <col min="433" max="433" width="5.44140625" style="737" customWidth="1"/>
    <col min="434" max="435" width="9.33203125" style="737" customWidth="1"/>
    <col min="436" max="436" width="5.44140625" style="737" customWidth="1"/>
    <col min="437" max="437" width="21.6640625" style="737" bestFit="1" customWidth="1"/>
    <col min="438" max="441" width="11.44140625" style="737" customWidth="1"/>
    <col min="442" max="442" width="5.44140625" style="737" customWidth="1"/>
    <col min="443" max="443" width="9.109375" style="737"/>
    <col min="444" max="444" width="5.5546875" style="737" customWidth="1"/>
    <col min="445" max="445" width="16.88671875" style="737" customWidth="1"/>
    <col min="446" max="448" width="14.5546875" style="737" customWidth="1"/>
    <col min="449" max="449" width="5.5546875" style="737" customWidth="1"/>
    <col min="450" max="451" width="9.109375" style="737"/>
    <col min="452" max="452" width="5.6640625" style="737" customWidth="1"/>
    <col min="453" max="453" width="9.109375" style="737"/>
    <col min="454" max="454" width="9" style="737" customWidth="1"/>
    <col min="455" max="455" width="9.44140625" style="737" bestFit="1" customWidth="1"/>
    <col min="456" max="456" width="10.44140625" style="737" bestFit="1" customWidth="1"/>
    <col min="457" max="460" width="9.44140625" style="737" bestFit="1" customWidth="1"/>
    <col min="461" max="461" width="5.6640625" style="737" customWidth="1"/>
    <col min="462" max="462" width="9.109375" style="737"/>
    <col min="463" max="463" width="5.6640625" style="737" customWidth="1"/>
    <col min="464" max="464" width="9.109375" style="737"/>
    <col min="465" max="465" width="9" style="737" customWidth="1"/>
    <col min="466" max="466" width="9.44140625" style="737" bestFit="1" customWidth="1"/>
    <col min="467" max="467" width="9.88671875" style="737" bestFit="1" customWidth="1"/>
    <col min="468" max="471" width="9.44140625" style="737" bestFit="1" customWidth="1"/>
    <col min="472" max="472" width="5.6640625" style="737" customWidth="1"/>
    <col min="473" max="473" width="9.109375" style="737"/>
    <col min="474" max="474" width="5.5546875" style="737" customWidth="1"/>
    <col min="475" max="475" width="16.44140625" style="737" customWidth="1"/>
    <col min="476" max="476" width="10.6640625" style="737" customWidth="1"/>
    <col min="477" max="482" width="9.5546875" style="737" customWidth="1"/>
    <col min="483" max="483" width="5.5546875" style="737" customWidth="1"/>
    <col min="484" max="485" width="9.109375" style="737"/>
    <col min="486" max="486" width="5.44140625" style="737" customWidth="1"/>
    <col min="487" max="487" width="8.109375" style="737" customWidth="1"/>
    <col min="488" max="488" width="9.33203125" style="737" customWidth="1"/>
    <col min="489" max="489" width="10.6640625" style="737" customWidth="1"/>
    <col min="490" max="490" width="9.33203125" style="737" customWidth="1"/>
    <col min="491" max="491" width="5.44140625" style="737" customWidth="1"/>
    <col min="492" max="492" width="9.109375" style="737"/>
    <col min="493" max="493" width="5.44140625" style="737" customWidth="1"/>
    <col min="494" max="496" width="9.44140625" style="737" customWidth="1"/>
    <col min="497" max="497" width="5.44140625" style="737" customWidth="1"/>
    <col min="498" max="499" width="9.109375" style="737"/>
    <col min="500" max="500" width="5.44140625" style="737" customWidth="1"/>
    <col min="501" max="501" width="13.5546875" style="737" customWidth="1"/>
    <col min="502" max="502" width="13.6640625" style="737" customWidth="1"/>
    <col min="503" max="503" width="13.5546875" style="737" customWidth="1"/>
    <col min="504" max="504" width="5.44140625" style="737" customWidth="1"/>
    <col min="505" max="506" width="9.109375" style="737"/>
    <col min="507" max="507" width="5.44140625" style="737" customWidth="1"/>
    <col min="508" max="508" width="11.109375" style="737" bestFit="1" customWidth="1"/>
    <col min="509" max="516" width="9.44140625" style="737" customWidth="1"/>
    <col min="517" max="517" width="5.44140625" style="737" customWidth="1"/>
    <col min="518" max="650" width="9.109375" style="737"/>
    <col min="651" max="651" width="5.88671875" style="737" customWidth="1"/>
    <col min="652" max="652" width="5.6640625" style="737" customWidth="1"/>
    <col min="653" max="653" width="35.5546875" style="737" customWidth="1"/>
    <col min="654" max="654" width="14.5546875" style="737" customWidth="1"/>
    <col min="655" max="655" width="14.44140625" style="737" customWidth="1"/>
    <col min="656" max="656" width="5.6640625" style="737" customWidth="1"/>
    <col min="657" max="657" width="14.5546875" style="737" customWidth="1"/>
    <col min="658" max="659" width="5.88671875" style="737" customWidth="1"/>
    <col min="660" max="660" width="26.6640625" style="737" customWidth="1"/>
    <col min="661" max="664" width="11.33203125" style="737" customWidth="1"/>
    <col min="665" max="665" width="5.5546875" style="737" customWidth="1"/>
    <col min="666" max="666" width="14.5546875" style="737" customWidth="1"/>
    <col min="667" max="667" width="5.6640625" style="737" customWidth="1"/>
    <col min="668" max="668" width="30.88671875" style="737" bestFit="1" customWidth="1"/>
    <col min="669" max="669" width="9.109375" style="737"/>
    <col min="670" max="670" width="10.88671875" style="737" bestFit="1" customWidth="1"/>
    <col min="671" max="671" width="42.44140625" style="737" customWidth="1"/>
    <col min="672" max="672" width="5.88671875" style="737" customWidth="1"/>
    <col min="673" max="673" width="14.44140625" style="737" customWidth="1"/>
    <col min="674" max="674" width="5.5546875" style="737" customWidth="1"/>
    <col min="675" max="675" width="16" style="737" bestFit="1" customWidth="1"/>
    <col min="676" max="681" width="10.33203125" style="737" customWidth="1"/>
    <col min="682" max="682" width="5.5546875" style="737" customWidth="1"/>
    <col min="683" max="683" width="9.5546875" style="737" customWidth="1"/>
    <col min="684" max="684" width="9.109375" style="737"/>
    <col min="685" max="685" width="5.44140625" style="737" customWidth="1"/>
    <col min="686" max="688" width="9.109375" style="737"/>
    <col min="689" max="689" width="5.44140625" style="737" customWidth="1"/>
    <col min="690" max="691" width="9.33203125" style="737" customWidth="1"/>
    <col min="692" max="692" width="5.44140625" style="737" customWidth="1"/>
    <col min="693" max="693" width="21.6640625" style="737" bestFit="1" customWidth="1"/>
    <col min="694" max="697" width="11.44140625" style="737" customWidth="1"/>
    <col min="698" max="698" width="5.44140625" style="737" customWidth="1"/>
    <col min="699" max="699" width="9.109375" style="737"/>
    <col min="700" max="700" width="5.5546875" style="737" customWidth="1"/>
    <col min="701" max="701" width="16.88671875" style="737" customWidth="1"/>
    <col min="702" max="704" width="14.5546875" style="737" customWidth="1"/>
    <col min="705" max="705" width="5.5546875" style="737" customWidth="1"/>
    <col min="706" max="707" width="9.109375" style="737"/>
    <col min="708" max="708" width="5.6640625" style="737" customWidth="1"/>
    <col min="709" max="709" width="9.109375" style="737"/>
    <col min="710" max="710" width="9" style="737" customWidth="1"/>
    <col min="711" max="711" width="9.44140625" style="737" bestFit="1" customWidth="1"/>
    <col min="712" max="712" width="10.44140625" style="737" bestFit="1" customWidth="1"/>
    <col min="713" max="716" width="9.44140625" style="737" bestFit="1" customWidth="1"/>
    <col min="717" max="717" width="5.6640625" style="737" customWidth="1"/>
    <col min="718" max="718" width="9.109375" style="737"/>
    <col min="719" max="719" width="5.6640625" style="737" customWidth="1"/>
    <col min="720" max="720" width="9.109375" style="737"/>
    <col min="721" max="721" width="9" style="737" customWidth="1"/>
    <col min="722" max="722" width="9.44140625" style="737" bestFit="1" customWidth="1"/>
    <col min="723" max="723" width="9.88671875" style="737" bestFit="1" customWidth="1"/>
    <col min="724" max="727" width="9.44140625" style="737" bestFit="1" customWidth="1"/>
    <col min="728" max="728" width="5.6640625" style="737" customWidth="1"/>
    <col min="729" max="729" width="9.109375" style="737"/>
    <col min="730" max="730" width="5.5546875" style="737" customWidth="1"/>
    <col min="731" max="731" width="16.44140625" style="737" customWidth="1"/>
    <col min="732" max="732" width="10.6640625" style="737" customWidth="1"/>
    <col min="733" max="738" width="9.5546875" style="737" customWidth="1"/>
    <col min="739" max="739" width="5.5546875" style="737" customWidth="1"/>
    <col min="740" max="741" width="9.109375" style="737"/>
    <col min="742" max="742" width="5.44140625" style="737" customWidth="1"/>
    <col min="743" max="743" width="8.109375" style="737" customWidth="1"/>
    <col min="744" max="744" width="9.33203125" style="737" customWidth="1"/>
    <col min="745" max="745" width="10.6640625" style="737" customWidth="1"/>
    <col min="746" max="746" width="9.33203125" style="737" customWidth="1"/>
    <col min="747" max="747" width="5.44140625" style="737" customWidth="1"/>
    <col min="748" max="748" width="9.109375" style="737"/>
    <col min="749" max="749" width="5.44140625" style="737" customWidth="1"/>
    <col min="750" max="752" width="9.44140625" style="737" customWidth="1"/>
    <col min="753" max="753" width="5.44140625" style="737" customWidth="1"/>
    <col min="754" max="755" width="9.109375" style="737"/>
    <col min="756" max="756" width="5.44140625" style="737" customWidth="1"/>
    <col min="757" max="757" width="13.5546875" style="737" customWidth="1"/>
    <col min="758" max="758" width="13.6640625" style="737" customWidth="1"/>
    <col min="759" max="759" width="13.5546875" style="737" customWidth="1"/>
    <col min="760" max="760" width="5.44140625" style="737" customWidth="1"/>
    <col min="761" max="762" width="9.109375" style="737"/>
    <col min="763" max="763" width="5.44140625" style="737" customWidth="1"/>
    <col min="764" max="764" width="11.109375" style="737" bestFit="1" customWidth="1"/>
    <col min="765" max="772" width="9.44140625" style="737" customWidth="1"/>
    <col min="773" max="773" width="5.44140625" style="737" customWidth="1"/>
    <col min="774" max="906" width="9.109375" style="737"/>
    <col min="907" max="907" width="5.88671875" style="737" customWidth="1"/>
    <col min="908" max="908" width="5.6640625" style="737" customWidth="1"/>
    <col min="909" max="909" width="35.5546875" style="737" customWidth="1"/>
    <col min="910" max="910" width="14.5546875" style="737" customWidth="1"/>
    <col min="911" max="911" width="14.44140625" style="737" customWidth="1"/>
    <col min="912" max="912" width="5.6640625" style="737" customWidth="1"/>
    <col min="913" max="913" width="14.5546875" style="737" customWidth="1"/>
    <col min="914" max="915" width="5.88671875" style="737" customWidth="1"/>
    <col min="916" max="916" width="26.6640625" style="737" customWidth="1"/>
    <col min="917" max="920" width="11.33203125" style="737" customWidth="1"/>
    <col min="921" max="921" width="5.5546875" style="737" customWidth="1"/>
    <col min="922" max="922" width="14.5546875" style="737" customWidth="1"/>
    <col min="923" max="923" width="5.6640625" style="737" customWidth="1"/>
    <col min="924" max="924" width="30.88671875" style="737" bestFit="1" customWidth="1"/>
    <col min="925" max="925" width="9.109375" style="737"/>
    <col min="926" max="926" width="10.88671875" style="737" bestFit="1" customWidth="1"/>
    <col min="927" max="927" width="42.44140625" style="737" customWidth="1"/>
    <col min="928" max="928" width="5.88671875" style="737" customWidth="1"/>
    <col min="929" max="929" width="14.44140625" style="737" customWidth="1"/>
    <col min="930" max="930" width="5.5546875" style="737" customWidth="1"/>
    <col min="931" max="931" width="16" style="737" bestFit="1" customWidth="1"/>
    <col min="932" max="937" width="10.33203125" style="737" customWidth="1"/>
    <col min="938" max="938" width="5.5546875" style="737" customWidth="1"/>
    <col min="939" max="939" width="9.5546875" style="737" customWidth="1"/>
    <col min="940" max="940" width="9.109375" style="737"/>
    <col min="941" max="941" width="5.44140625" style="737" customWidth="1"/>
    <col min="942" max="944" width="9.109375" style="737"/>
    <col min="945" max="945" width="5.44140625" style="737" customWidth="1"/>
    <col min="946" max="947" width="9.33203125" style="737" customWidth="1"/>
    <col min="948" max="948" width="5.44140625" style="737" customWidth="1"/>
    <col min="949" max="949" width="21.6640625" style="737" bestFit="1" customWidth="1"/>
    <col min="950" max="953" width="11.44140625" style="737" customWidth="1"/>
    <col min="954" max="954" width="5.44140625" style="737" customWidth="1"/>
    <col min="955" max="955" width="9.109375" style="737"/>
    <col min="956" max="956" width="5.5546875" style="737" customWidth="1"/>
    <col min="957" max="957" width="16.88671875" style="737" customWidth="1"/>
    <col min="958" max="960" width="14.5546875" style="737" customWidth="1"/>
    <col min="961" max="961" width="5.5546875" style="737" customWidth="1"/>
    <col min="962" max="963" width="9.109375" style="737"/>
    <col min="964" max="964" width="5.6640625" style="737" customWidth="1"/>
    <col min="965" max="965" width="9.109375" style="737"/>
    <col min="966" max="966" width="9" style="737" customWidth="1"/>
    <col min="967" max="967" width="9.44140625" style="737" bestFit="1" customWidth="1"/>
    <col min="968" max="968" width="10.44140625" style="737" bestFit="1" customWidth="1"/>
    <col min="969" max="972" width="9.44140625" style="737" bestFit="1" customWidth="1"/>
    <col min="973" max="973" width="5.6640625" style="737" customWidth="1"/>
    <col min="974" max="974" width="9.109375" style="737"/>
    <col min="975" max="975" width="5.6640625" style="737" customWidth="1"/>
    <col min="976" max="976" width="9.109375" style="737"/>
    <col min="977" max="977" width="9" style="737" customWidth="1"/>
    <col min="978" max="978" width="9.44140625" style="737" bestFit="1" customWidth="1"/>
    <col min="979" max="979" width="9.88671875" style="737" bestFit="1" customWidth="1"/>
    <col min="980" max="983" width="9.44140625" style="737" bestFit="1" customWidth="1"/>
    <col min="984" max="984" width="5.6640625" style="737" customWidth="1"/>
    <col min="985" max="985" width="9.109375" style="737"/>
    <col min="986" max="986" width="5.5546875" style="737" customWidth="1"/>
    <col min="987" max="987" width="16.44140625" style="737" customWidth="1"/>
    <col min="988" max="988" width="10.6640625" style="737" customWidth="1"/>
    <col min="989" max="994" width="9.5546875" style="737" customWidth="1"/>
    <col min="995" max="995" width="5.5546875" style="737" customWidth="1"/>
    <col min="996" max="997" width="9.109375" style="737"/>
    <col min="998" max="998" width="5.44140625" style="737" customWidth="1"/>
    <col min="999" max="999" width="8.109375" style="737" customWidth="1"/>
    <col min="1000" max="1000" width="9.33203125" style="737" customWidth="1"/>
    <col min="1001" max="1001" width="10.6640625" style="737" customWidth="1"/>
    <col min="1002" max="1002" width="9.33203125" style="737" customWidth="1"/>
    <col min="1003" max="1003" width="5.44140625" style="737" customWidth="1"/>
    <col min="1004" max="1004" width="9.109375" style="737"/>
    <col min="1005" max="1005" width="5.44140625" style="737" customWidth="1"/>
    <col min="1006" max="1008" width="9.44140625" style="737" customWidth="1"/>
    <col min="1009" max="1009" width="5.44140625" style="737" customWidth="1"/>
    <col min="1010" max="1011" width="9.109375" style="737"/>
    <col min="1012" max="1012" width="5.44140625" style="737" customWidth="1"/>
    <col min="1013" max="1013" width="13.5546875" style="737" customWidth="1"/>
    <col min="1014" max="1014" width="13.6640625" style="737" customWidth="1"/>
    <col min="1015" max="1015" width="13.5546875" style="737" customWidth="1"/>
    <col min="1016" max="1016" width="5.44140625" style="737" customWidth="1"/>
    <col min="1017" max="1018" width="9.109375" style="737"/>
    <col min="1019" max="1019" width="5.44140625" style="737" customWidth="1"/>
    <col min="1020" max="1020" width="11.109375" style="737" bestFit="1" customWidth="1"/>
    <col min="1021" max="1028" width="9.44140625" style="737" customWidth="1"/>
    <col min="1029" max="1029" width="5.44140625" style="737" customWidth="1"/>
    <col min="1030" max="1162" width="9.109375" style="737"/>
    <col min="1163" max="1163" width="5.88671875" style="737" customWidth="1"/>
    <col min="1164" max="1164" width="5.6640625" style="737" customWidth="1"/>
    <col min="1165" max="1165" width="35.5546875" style="737" customWidth="1"/>
    <col min="1166" max="1166" width="14.5546875" style="737" customWidth="1"/>
    <col min="1167" max="1167" width="14.44140625" style="737" customWidth="1"/>
    <col min="1168" max="1168" width="5.6640625" style="737" customWidth="1"/>
    <col min="1169" max="1169" width="14.5546875" style="737" customWidth="1"/>
    <col min="1170" max="1171" width="5.88671875" style="737" customWidth="1"/>
    <col min="1172" max="1172" width="26.6640625" style="737" customWidth="1"/>
    <col min="1173" max="1176" width="11.33203125" style="737" customWidth="1"/>
    <col min="1177" max="1177" width="5.5546875" style="737" customWidth="1"/>
    <col min="1178" max="1178" width="14.5546875" style="737" customWidth="1"/>
    <col min="1179" max="1179" width="5.6640625" style="737" customWidth="1"/>
    <col min="1180" max="1180" width="30.88671875" style="737" bestFit="1" customWidth="1"/>
    <col min="1181" max="1181" width="9.109375" style="737"/>
    <col min="1182" max="1182" width="10.88671875" style="737" bestFit="1" customWidth="1"/>
    <col min="1183" max="1183" width="42.44140625" style="737" customWidth="1"/>
    <col min="1184" max="1184" width="5.88671875" style="737" customWidth="1"/>
    <col min="1185" max="1185" width="14.44140625" style="737" customWidth="1"/>
    <col min="1186" max="1186" width="5.5546875" style="737" customWidth="1"/>
    <col min="1187" max="1187" width="16" style="737" bestFit="1" customWidth="1"/>
    <col min="1188" max="1193" width="10.33203125" style="737" customWidth="1"/>
    <col min="1194" max="1194" width="5.5546875" style="737" customWidth="1"/>
    <col min="1195" max="1195" width="9.5546875" style="737" customWidth="1"/>
    <col min="1196" max="1196" width="9.109375" style="737"/>
    <col min="1197" max="1197" width="5.44140625" style="737" customWidth="1"/>
    <col min="1198" max="1200" width="9.109375" style="737"/>
    <col min="1201" max="1201" width="5.44140625" style="737" customWidth="1"/>
    <col min="1202" max="1203" width="9.33203125" style="737" customWidth="1"/>
    <col min="1204" max="1204" width="5.44140625" style="737" customWidth="1"/>
    <col min="1205" max="1205" width="21.6640625" style="737" bestFit="1" customWidth="1"/>
    <col min="1206" max="1209" width="11.44140625" style="737" customWidth="1"/>
    <col min="1210" max="1210" width="5.44140625" style="737" customWidth="1"/>
    <col min="1211" max="1211" width="9.109375" style="737"/>
    <col min="1212" max="1212" width="5.5546875" style="737" customWidth="1"/>
    <col min="1213" max="1213" width="16.88671875" style="737" customWidth="1"/>
    <col min="1214" max="1216" width="14.5546875" style="737" customWidth="1"/>
    <col min="1217" max="1217" width="5.5546875" style="737" customWidth="1"/>
    <col min="1218" max="1219" width="9.109375" style="737"/>
    <col min="1220" max="1220" width="5.6640625" style="737" customWidth="1"/>
    <col min="1221" max="1221" width="9.109375" style="737"/>
    <col min="1222" max="1222" width="9" style="737" customWidth="1"/>
    <col min="1223" max="1223" width="9.44140625" style="737" bestFit="1" customWidth="1"/>
    <col min="1224" max="1224" width="10.44140625" style="737" bestFit="1" customWidth="1"/>
    <col min="1225" max="1228" width="9.44140625" style="737" bestFit="1" customWidth="1"/>
    <col min="1229" max="1229" width="5.6640625" style="737" customWidth="1"/>
    <col min="1230" max="1230" width="9.109375" style="737"/>
    <col min="1231" max="1231" width="5.6640625" style="737" customWidth="1"/>
    <col min="1232" max="1232" width="9.109375" style="737"/>
    <col min="1233" max="1233" width="9" style="737" customWidth="1"/>
    <col min="1234" max="1234" width="9.44140625" style="737" bestFit="1" customWidth="1"/>
    <col min="1235" max="1235" width="9.88671875" style="737" bestFit="1" customWidth="1"/>
    <col min="1236" max="1239" width="9.44140625" style="737" bestFit="1" customWidth="1"/>
    <col min="1240" max="1240" width="5.6640625" style="737" customWidth="1"/>
    <col min="1241" max="1241" width="9.109375" style="737"/>
    <col min="1242" max="1242" width="5.5546875" style="737" customWidth="1"/>
    <col min="1243" max="1243" width="16.44140625" style="737" customWidth="1"/>
    <col min="1244" max="1244" width="10.6640625" style="737" customWidth="1"/>
    <col min="1245" max="1250" width="9.5546875" style="737" customWidth="1"/>
    <col min="1251" max="1251" width="5.5546875" style="737" customWidth="1"/>
    <col min="1252" max="1253" width="9.109375" style="737"/>
    <col min="1254" max="1254" width="5.44140625" style="737" customWidth="1"/>
    <col min="1255" max="1255" width="8.109375" style="737" customWidth="1"/>
    <col min="1256" max="1256" width="9.33203125" style="737" customWidth="1"/>
    <col min="1257" max="1257" width="10.6640625" style="737" customWidth="1"/>
    <col min="1258" max="1258" width="9.33203125" style="737" customWidth="1"/>
    <col min="1259" max="1259" width="5.44140625" style="737" customWidth="1"/>
    <col min="1260" max="1260" width="9.109375" style="737"/>
    <col min="1261" max="1261" width="5.44140625" style="737" customWidth="1"/>
    <col min="1262" max="1264" width="9.44140625" style="737" customWidth="1"/>
    <col min="1265" max="1265" width="5.44140625" style="737" customWidth="1"/>
    <col min="1266" max="1267" width="9.109375" style="737"/>
    <col min="1268" max="1268" width="5.44140625" style="737" customWidth="1"/>
    <col min="1269" max="1269" width="13.5546875" style="737" customWidth="1"/>
    <col min="1270" max="1270" width="13.6640625" style="737" customWidth="1"/>
    <col min="1271" max="1271" width="13.5546875" style="737" customWidth="1"/>
    <col min="1272" max="1272" width="5.44140625" style="737" customWidth="1"/>
    <col min="1273" max="1274" width="9.109375" style="737"/>
    <col min="1275" max="1275" width="5.44140625" style="737" customWidth="1"/>
    <col min="1276" max="1276" width="11.109375" style="737" bestFit="1" customWidth="1"/>
    <col min="1277" max="1284" width="9.44140625" style="737" customWidth="1"/>
    <col min="1285" max="1285" width="5.44140625" style="737" customWidth="1"/>
    <col min="1286" max="1418" width="9.109375" style="737"/>
    <col min="1419" max="1419" width="5.88671875" style="737" customWidth="1"/>
    <col min="1420" max="1420" width="5.6640625" style="737" customWidth="1"/>
    <col min="1421" max="1421" width="35.5546875" style="737" customWidth="1"/>
    <col min="1422" max="1422" width="14.5546875" style="737" customWidth="1"/>
    <col min="1423" max="1423" width="14.44140625" style="737" customWidth="1"/>
    <col min="1424" max="1424" width="5.6640625" style="737" customWidth="1"/>
    <col min="1425" max="1425" width="14.5546875" style="737" customWidth="1"/>
    <col min="1426" max="1427" width="5.88671875" style="737" customWidth="1"/>
    <col min="1428" max="1428" width="26.6640625" style="737" customWidth="1"/>
    <col min="1429" max="1432" width="11.33203125" style="737" customWidth="1"/>
    <col min="1433" max="1433" width="5.5546875" style="737" customWidth="1"/>
    <col min="1434" max="1434" width="14.5546875" style="737" customWidth="1"/>
    <col min="1435" max="1435" width="5.6640625" style="737" customWidth="1"/>
    <col min="1436" max="1436" width="30.88671875" style="737" bestFit="1" customWidth="1"/>
    <col min="1437" max="1437" width="9.109375" style="737"/>
    <col min="1438" max="1438" width="10.88671875" style="737" bestFit="1" customWidth="1"/>
    <col min="1439" max="1439" width="42.44140625" style="737" customWidth="1"/>
    <col min="1440" max="1440" width="5.88671875" style="737" customWidth="1"/>
    <col min="1441" max="1441" width="14.44140625" style="737" customWidth="1"/>
    <col min="1442" max="1442" width="5.5546875" style="737" customWidth="1"/>
    <col min="1443" max="1443" width="16" style="737" bestFit="1" customWidth="1"/>
    <col min="1444" max="1449" width="10.33203125" style="737" customWidth="1"/>
    <col min="1450" max="1450" width="5.5546875" style="737" customWidth="1"/>
    <col min="1451" max="1451" width="9.5546875" style="737" customWidth="1"/>
    <col min="1452" max="1452" width="9.109375" style="737"/>
    <col min="1453" max="1453" width="5.44140625" style="737" customWidth="1"/>
    <col min="1454" max="1456" width="9.109375" style="737"/>
    <col min="1457" max="1457" width="5.44140625" style="737" customWidth="1"/>
    <col min="1458" max="1459" width="9.33203125" style="737" customWidth="1"/>
    <col min="1460" max="1460" width="5.44140625" style="737" customWidth="1"/>
    <col min="1461" max="1461" width="21.6640625" style="737" bestFit="1" customWidth="1"/>
    <col min="1462" max="1465" width="11.44140625" style="737" customWidth="1"/>
    <col min="1466" max="1466" width="5.44140625" style="737" customWidth="1"/>
    <col min="1467" max="1467" width="9.109375" style="737"/>
    <col min="1468" max="1468" width="5.5546875" style="737" customWidth="1"/>
    <col min="1469" max="1469" width="16.88671875" style="737" customWidth="1"/>
    <col min="1470" max="1472" width="14.5546875" style="737" customWidth="1"/>
    <col min="1473" max="1473" width="5.5546875" style="737" customWidth="1"/>
    <col min="1474" max="1475" width="9.109375" style="737"/>
    <col min="1476" max="1476" width="5.6640625" style="737" customWidth="1"/>
    <col min="1477" max="1477" width="9.109375" style="737"/>
    <col min="1478" max="1478" width="9" style="737" customWidth="1"/>
    <col min="1479" max="1479" width="9.44140625" style="737" bestFit="1" customWidth="1"/>
    <col min="1480" max="1480" width="10.44140625" style="737" bestFit="1" customWidth="1"/>
    <col min="1481" max="1484" width="9.44140625" style="737" bestFit="1" customWidth="1"/>
    <col min="1485" max="1485" width="5.6640625" style="737" customWidth="1"/>
    <col min="1486" max="1486" width="9.109375" style="737"/>
    <col min="1487" max="1487" width="5.6640625" style="737" customWidth="1"/>
    <col min="1488" max="1488" width="9.109375" style="737"/>
    <col min="1489" max="1489" width="9" style="737" customWidth="1"/>
    <col min="1490" max="1490" width="9.44140625" style="737" bestFit="1" customWidth="1"/>
    <col min="1491" max="1491" width="9.88671875" style="737" bestFit="1" customWidth="1"/>
    <col min="1492" max="1495" width="9.44140625" style="737" bestFit="1" customWidth="1"/>
    <col min="1496" max="1496" width="5.6640625" style="737" customWidth="1"/>
    <col min="1497" max="1497" width="9.109375" style="737"/>
    <col min="1498" max="1498" width="5.5546875" style="737" customWidth="1"/>
    <col min="1499" max="1499" width="16.44140625" style="737" customWidth="1"/>
    <col min="1500" max="1500" width="10.6640625" style="737" customWidth="1"/>
    <col min="1501" max="1506" width="9.5546875" style="737" customWidth="1"/>
    <col min="1507" max="1507" width="5.5546875" style="737" customWidth="1"/>
    <col min="1508" max="1509" width="9.109375" style="737"/>
    <col min="1510" max="1510" width="5.44140625" style="737" customWidth="1"/>
    <col min="1511" max="1511" width="8.109375" style="737" customWidth="1"/>
    <col min="1512" max="1512" width="9.33203125" style="737" customWidth="1"/>
    <col min="1513" max="1513" width="10.6640625" style="737" customWidth="1"/>
    <col min="1514" max="1514" width="9.33203125" style="737" customWidth="1"/>
    <col min="1515" max="1515" width="5.44140625" style="737" customWidth="1"/>
    <col min="1516" max="1516" width="9.109375" style="737"/>
    <col min="1517" max="1517" width="5.44140625" style="737" customWidth="1"/>
    <col min="1518" max="1520" width="9.44140625" style="737" customWidth="1"/>
    <col min="1521" max="1521" width="5.44140625" style="737" customWidth="1"/>
    <col min="1522" max="1523" width="9.109375" style="737"/>
    <col min="1524" max="1524" width="5.44140625" style="737" customWidth="1"/>
    <col min="1525" max="1525" width="13.5546875" style="737" customWidth="1"/>
    <col min="1526" max="1526" width="13.6640625" style="737" customWidth="1"/>
    <col min="1527" max="1527" width="13.5546875" style="737" customWidth="1"/>
    <col min="1528" max="1528" width="5.44140625" style="737" customWidth="1"/>
    <col min="1529" max="1530" width="9.109375" style="737"/>
    <col min="1531" max="1531" width="5.44140625" style="737" customWidth="1"/>
    <col min="1532" max="1532" width="11.109375" style="737" bestFit="1" customWidth="1"/>
    <col min="1533" max="1540" width="9.44140625" style="737" customWidth="1"/>
    <col min="1541" max="1541" width="5.44140625" style="737" customWidth="1"/>
    <col min="1542" max="1674" width="9.109375" style="737"/>
    <col min="1675" max="1675" width="5.88671875" style="737" customWidth="1"/>
    <col min="1676" max="1676" width="5.6640625" style="737" customWidth="1"/>
    <col min="1677" max="1677" width="35.5546875" style="737" customWidth="1"/>
    <col min="1678" max="1678" width="14.5546875" style="737" customWidth="1"/>
    <col min="1679" max="1679" width="14.44140625" style="737" customWidth="1"/>
    <col min="1680" max="1680" width="5.6640625" style="737" customWidth="1"/>
    <col min="1681" max="1681" width="14.5546875" style="737" customWidth="1"/>
    <col min="1682" max="1683" width="5.88671875" style="737" customWidth="1"/>
    <col min="1684" max="1684" width="26.6640625" style="737" customWidth="1"/>
    <col min="1685" max="1688" width="11.33203125" style="737" customWidth="1"/>
    <col min="1689" max="1689" width="5.5546875" style="737" customWidth="1"/>
    <col min="1690" max="1690" width="14.5546875" style="737" customWidth="1"/>
    <col min="1691" max="1691" width="5.6640625" style="737" customWidth="1"/>
    <col min="1692" max="1692" width="30.88671875" style="737" bestFit="1" customWidth="1"/>
    <col min="1693" max="1693" width="9.109375" style="737"/>
    <col min="1694" max="1694" width="10.88671875" style="737" bestFit="1" customWidth="1"/>
    <col min="1695" max="1695" width="42.44140625" style="737" customWidth="1"/>
    <col min="1696" max="1696" width="5.88671875" style="737" customWidth="1"/>
    <col min="1697" max="1697" width="14.44140625" style="737" customWidth="1"/>
    <col min="1698" max="1698" width="5.5546875" style="737" customWidth="1"/>
    <col min="1699" max="1699" width="16" style="737" bestFit="1" customWidth="1"/>
    <col min="1700" max="1705" width="10.33203125" style="737" customWidth="1"/>
    <col min="1706" max="1706" width="5.5546875" style="737" customWidth="1"/>
    <col min="1707" max="1707" width="9.5546875" style="737" customWidth="1"/>
    <col min="1708" max="1708" width="9.109375" style="737"/>
    <col min="1709" max="1709" width="5.44140625" style="737" customWidth="1"/>
    <col min="1710" max="1712" width="9.109375" style="737"/>
    <col min="1713" max="1713" width="5.44140625" style="737" customWidth="1"/>
    <col min="1714" max="1715" width="9.33203125" style="737" customWidth="1"/>
    <col min="1716" max="1716" width="5.44140625" style="737" customWidth="1"/>
    <col min="1717" max="1717" width="21.6640625" style="737" bestFit="1" customWidth="1"/>
    <col min="1718" max="1721" width="11.44140625" style="737" customWidth="1"/>
    <col min="1722" max="1722" width="5.44140625" style="737" customWidth="1"/>
    <col min="1723" max="1723" width="9.109375" style="737"/>
    <col min="1724" max="1724" width="5.5546875" style="737" customWidth="1"/>
    <col min="1725" max="1725" width="16.88671875" style="737" customWidth="1"/>
    <col min="1726" max="1728" width="14.5546875" style="737" customWidth="1"/>
    <col min="1729" max="1729" width="5.5546875" style="737" customWidth="1"/>
    <col min="1730" max="1731" width="9.109375" style="737"/>
    <col min="1732" max="1732" width="5.6640625" style="737" customWidth="1"/>
    <col min="1733" max="1733" width="9.109375" style="737"/>
    <col min="1734" max="1734" width="9" style="737" customWidth="1"/>
    <col min="1735" max="1735" width="9.44140625" style="737" bestFit="1" customWidth="1"/>
    <col min="1736" max="1736" width="10.44140625" style="737" bestFit="1" customWidth="1"/>
    <col min="1737" max="1740" width="9.44140625" style="737" bestFit="1" customWidth="1"/>
    <col min="1741" max="1741" width="5.6640625" style="737" customWidth="1"/>
    <col min="1742" max="1742" width="9.109375" style="737"/>
    <col min="1743" max="1743" width="5.6640625" style="737" customWidth="1"/>
    <col min="1744" max="1744" width="9.109375" style="737"/>
    <col min="1745" max="1745" width="9" style="737" customWidth="1"/>
    <col min="1746" max="1746" width="9.44140625" style="737" bestFit="1" customWidth="1"/>
    <col min="1747" max="1747" width="9.88671875" style="737" bestFit="1" customWidth="1"/>
    <col min="1748" max="1751" width="9.44140625" style="737" bestFit="1" customWidth="1"/>
    <col min="1752" max="1752" width="5.6640625" style="737" customWidth="1"/>
    <col min="1753" max="1753" width="9.109375" style="737"/>
    <col min="1754" max="1754" width="5.5546875" style="737" customWidth="1"/>
    <col min="1755" max="1755" width="16.44140625" style="737" customWidth="1"/>
    <col min="1756" max="1756" width="10.6640625" style="737" customWidth="1"/>
    <col min="1757" max="1762" width="9.5546875" style="737" customWidth="1"/>
    <col min="1763" max="1763" width="5.5546875" style="737" customWidth="1"/>
    <col min="1764" max="1765" width="9.109375" style="737"/>
    <col min="1766" max="1766" width="5.44140625" style="737" customWidth="1"/>
    <col min="1767" max="1767" width="8.109375" style="737" customWidth="1"/>
    <col min="1768" max="1768" width="9.33203125" style="737" customWidth="1"/>
    <col min="1769" max="1769" width="10.6640625" style="737" customWidth="1"/>
    <col min="1770" max="1770" width="9.33203125" style="737" customWidth="1"/>
    <col min="1771" max="1771" width="5.44140625" style="737" customWidth="1"/>
    <col min="1772" max="1772" width="9.109375" style="737"/>
    <col min="1773" max="1773" width="5.44140625" style="737" customWidth="1"/>
    <col min="1774" max="1776" width="9.44140625" style="737" customWidth="1"/>
    <col min="1777" max="1777" width="5.44140625" style="737" customWidth="1"/>
    <col min="1778" max="1779" width="9.109375" style="737"/>
    <col min="1780" max="1780" width="5.44140625" style="737" customWidth="1"/>
    <col min="1781" max="1781" width="13.5546875" style="737" customWidth="1"/>
    <col min="1782" max="1782" width="13.6640625" style="737" customWidth="1"/>
    <col min="1783" max="1783" width="13.5546875" style="737" customWidth="1"/>
    <col min="1784" max="1784" width="5.44140625" style="737" customWidth="1"/>
    <col min="1785" max="1786" width="9.109375" style="737"/>
    <col min="1787" max="1787" width="5.44140625" style="737" customWidth="1"/>
    <col min="1788" max="1788" width="11.109375" style="737" bestFit="1" customWidth="1"/>
    <col min="1789" max="1796" width="9.44140625" style="737" customWidth="1"/>
    <col min="1797" max="1797" width="5.44140625" style="737" customWidth="1"/>
    <col min="1798" max="1930" width="9.109375" style="737"/>
    <col min="1931" max="1931" width="5.88671875" style="737" customWidth="1"/>
    <col min="1932" max="1932" width="5.6640625" style="737" customWidth="1"/>
    <col min="1933" max="1933" width="35.5546875" style="737" customWidth="1"/>
    <col min="1934" max="1934" width="14.5546875" style="737" customWidth="1"/>
    <col min="1935" max="1935" width="14.44140625" style="737" customWidth="1"/>
    <col min="1936" max="1936" width="5.6640625" style="737" customWidth="1"/>
    <col min="1937" max="1937" width="14.5546875" style="737" customWidth="1"/>
    <col min="1938" max="1939" width="5.88671875" style="737" customWidth="1"/>
    <col min="1940" max="1940" width="26.6640625" style="737" customWidth="1"/>
    <col min="1941" max="1944" width="11.33203125" style="737" customWidth="1"/>
    <col min="1945" max="1945" width="5.5546875" style="737" customWidth="1"/>
    <col min="1946" max="1946" width="14.5546875" style="737" customWidth="1"/>
    <col min="1947" max="1947" width="5.6640625" style="737" customWidth="1"/>
    <col min="1948" max="1948" width="30.88671875" style="737" bestFit="1" customWidth="1"/>
    <col min="1949" max="1949" width="9.109375" style="737"/>
    <col min="1950" max="1950" width="10.88671875" style="737" bestFit="1" customWidth="1"/>
    <col min="1951" max="1951" width="42.44140625" style="737" customWidth="1"/>
    <col min="1952" max="1952" width="5.88671875" style="737" customWidth="1"/>
    <col min="1953" max="1953" width="14.44140625" style="737" customWidth="1"/>
    <col min="1954" max="1954" width="5.5546875" style="737" customWidth="1"/>
    <col min="1955" max="1955" width="16" style="737" bestFit="1" customWidth="1"/>
    <col min="1956" max="1961" width="10.33203125" style="737" customWidth="1"/>
    <col min="1962" max="1962" width="5.5546875" style="737" customWidth="1"/>
    <col min="1963" max="1963" width="9.5546875" style="737" customWidth="1"/>
    <col min="1964" max="1964" width="9.109375" style="737"/>
    <col min="1965" max="1965" width="5.44140625" style="737" customWidth="1"/>
    <col min="1966" max="1968" width="9.109375" style="737"/>
    <col min="1969" max="1969" width="5.44140625" style="737" customWidth="1"/>
    <col min="1970" max="1971" width="9.33203125" style="737" customWidth="1"/>
    <col min="1972" max="1972" width="5.44140625" style="737" customWidth="1"/>
    <col min="1973" max="1973" width="21.6640625" style="737" bestFit="1" customWidth="1"/>
    <col min="1974" max="1977" width="11.44140625" style="737" customWidth="1"/>
    <col min="1978" max="1978" width="5.44140625" style="737" customWidth="1"/>
    <col min="1979" max="1979" width="9.109375" style="737"/>
    <col min="1980" max="1980" width="5.5546875" style="737" customWidth="1"/>
    <col min="1981" max="1981" width="16.88671875" style="737" customWidth="1"/>
    <col min="1982" max="1984" width="14.5546875" style="737" customWidth="1"/>
    <col min="1985" max="1985" width="5.5546875" style="737" customWidth="1"/>
    <col min="1986" max="1987" width="9.109375" style="737"/>
    <col min="1988" max="1988" width="5.6640625" style="737" customWidth="1"/>
    <col min="1989" max="1989" width="9.109375" style="737"/>
    <col min="1990" max="1990" width="9" style="737" customWidth="1"/>
    <col min="1991" max="1991" width="9.44140625" style="737" bestFit="1" customWidth="1"/>
    <col min="1992" max="1992" width="10.44140625" style="737" bestFit="1" customWidth="1"/>
    <col min="1993" max="1996" width="9.44140625" style="737" bestFit="1" customWidth="1"/>
    <col min="1997" max="1997" width="5.6640625" style="737" customWidth="1"/>
    <col min="1998" max="1998" width="9.109375" style="737"/>
    <col min="1999" max="1999" width="5.6640625" style="737" customWidth="1"/>
    <col min="2000" max="2000" width="9.109375" style="737"/>
    <col min="2001" max="2001" width="9" style="737" customWidth="1"/>
    <col min="2002" max="2002" width="9.44140625" style="737" bestFit="1" customWidth="1"/>
    <col min="2003" max="2003" width="9.88671875" style="737" bestFit="1" customWidth="1"/>
    <col min="2004" max="2007" width="9.44140625" style="737" bestFit="1" customWidth="1"/>
    <col min="2008" max="2008" width="5.6640625" style="737" customWidth="1"/>
    <col min="2009" max="2009" width="9.109375" style="737"/>
    <col min="2010" max="2010" width="5.5546875" style="737" customWidth="1"/>
    <col min="2011" max="2011" width="16.44140625" style="737" customWidth="1"/>
    <col min="2012" max="2012" width="10.6640625" style="737" customWidth="1"/>
    <col min="2013" max="2018" width="9.5546875" style="737" customWidth="1"/>
    <col min="2019" max="2019" width="5.5546875" style="737" customWidth="1"/>
    <col min="2020" max="2021" width="9.109375" style="737"/>
    <col min="2022" max="2022" width="5.44140625" style="737" customWidth="1"/>
    <col min="2023" max="2023" width="8.109375" style="737" customWidth="1"/>
    <col min="2024" max="2024" width="9.33203125" style="737" customWidth="1"/>
    <col min="2025" max="2025" width="10.6640625" style="737" customWidth="1"/>
    <col min="2026" max="2026" width="9.33203125" style="737" customWidth="1"/>
    <col min="2027" max="2027" width="5.44140625" style="737" customWidth="1"/>
    <col min="2028" max="2028" width="9.109375" style="737"/>
    <col min="2029" max="2029" width="5.44140625" style="737" customWidth="1"/>
    <col min="2030" max="2032" width="9.44140625" style="737" customWidth="1"/>
    <col min="2033" max="2033" width="5.44140625" style="737" customWidth="1"/>
    <col min="2034" max="2035" width="9.109375" style="737"/>
    <col min="2036" max="2036" width="5.44140625" style="737" customWidth="1"/>
    <col min="2037" max="2037" width="13.5546875" style="737" customWidth="1"/>
    <col min="2038" max="2038" width="13.6640625" style="737" customWidth="1"/>
    <col min="2039" max="2039" width="13.5546875" style="737" customWidth="1"/>
    <col min="2040" max="2040" width="5.44140625" style="737" customWidth="1"/>
    <col min="2041" max="2042" width="9.109375" style="737"/>
    <col min="2043" max="2043" width="5.44140625" style="737" customWidth="1"/>
    <col min="2044" max="2044" width="11.109375" style="737" bestFit="1" customWidth="1"/>
    <col min="2045" max="2052" width="9.44140625" style="737" customWidth="1"/>
    <col min="2053" max="2053" width="5.44140625" style="737" customWidth="1"/>
    <col min="2054" max="2186" width="9.109375" style="737"/>
    <col min="2187" max="2187" width="5.88671875" style="737" customWidth="1"/>
    <col min="2188" max="2188" width="5.6640625" style="737" customWidth="1"/>
    <col min="2189" max="2189" width="35.5546875" style="737" customWidth="1"/>
    <col min="2190" max="2190" width="14.5546875" style="737" customWidth="1"/>
    <col min="2191" max="2191" width="14.44140625" style="737" customWidth="1"/>
    <col min="2192" max="2192" width="5.6640625" style="737" customWidth="1"/>
    <col min="2193" max="2193" width="14.5546875" style="737" customWidth="1"/>
    <col min="2194" max="2195" width="5.88671875" style="737" customWidth="1"/>
    <col min="2196" max="2196" width="26.6640625" style="737" customWidth="1"/>
    <col min="2197" max="2200" width="11.33203125" style="737" customWidth="1"/>
    <col min="2201" max="2201" width="5.5546875" style="737" customWidth="1"/>
    <col min="2202" max="2202" width="14.5546875" style="737" customWidth="1"/>
    <col min="2203" max="2203" width="5.6640625" style="737" customWidth="1"/>
    <col min="2204" max="2204" width="30.88671875" style="737" bestFit="1" customWidth="1"/>
    <col min="2205" max="2205" width="9.109375" style="737"/>
    <col min="2206" max="2206" width="10.88671875" style="737" bestFit="1" customWidth="1"/>
    <col min="2207" max="2207" width="42.44140625" style="737" customWidth="1"/>
    <col min="2208" max="2208" width="5.88671875" style="737" customWidth="1"/>
    <col min="2209" max="2209" width="14.44140625" style="737" customWidth="1"/>
    <col min="2210" max="2210" width="5.5546875" style="737" customWidth="1"/>
    <col min="2211" max="2211" width="16" style="737" bestFit="1" customWidth="1"/>
    <col min="2212" max="2217" width="10.33203125" style="737" customWidth="1"/>
    <col min="2218" max="2218" width="5.5546875" style="737" customWidth="1"/>
    <col min="2219" max="2219" width="9.5546875" style="737" customWidth="1"/>
    <col min="2220" max="2220" width="9.109375" style="737"/>
    <col min="2221" max="2221" width="5.44140625" style="737" customWidth="1"/>
    <col min="2222" max="2224" width="9.109375" style="737"/>
    <col min="2225" max="2225" width="5.44140625" style="737" customWidth="1"/>
    <col min="2226" max="2227" width="9.33203125" style="737" customWidth="1"/>
    <col min="2228" max="2228" width="5.44140625" style="737" customWidth="1"/>
    <col min="2229" max="2229" width="21.6640625" style="737" bestFit="1" customWidth="1"/>
    <col min="2230" max="2233" width="11.44140625" style="737" customWidth="1"/>
    <col min="2234" max="2234" width="5.44140625" style="737" customWidth="1"/>
    <col min="2235" max="2235" width="9.109375" style="737"/>
    <col min="2236" max="2236" width="5.5546875" style="737" customWidth="1"/>
    <col min="2237" max="2237" width="16.88671875" style="737" customWidth="1"/>
    <col min="2238" max="2240" width="14.5546875" style="737" customWidth="1"/>
    <col min="2241" max="2241" width="5.5546875" style="737" customWidth="1"/>
    <col min="2242" max="2243" width="9.109375" style="737"/>
    <col min="2244" max="2244" width="5.6640625" style="737" customWidth="1"/>
    <col min="2245" max="2245" width="9.109375" style="737"/>
    <col min="2246" max="2246" width="9" style="737" customWidth="1"/>
    <col min="2247" max="2247" width="9.44140625" style="737" bestFit="1" customWidth="1"/>
    <col min="2248" max="2248" width="10.44140625" style="737" bestFit="1" customWidth="1"/>
    <col min="2249" max="2252" width="9.44140625" style="737" bestFit="1" customWidth="1"/>
    <col min="2253" max="2253" width="5.6640625" style="737" customWidth="1"/>
    <col min="2254" max="2254" width="9.109375" style="737"/>
    <col min="2255" max="2255" width="5.6640625" style="737" customWidth="1"/>
    <col min="2256" max="2256" width="9.109375" style="737"/>
    <col min="2257" max="2257" width="9" style="737" customWidth="1"/>
    <col min="2258" max="2258" width="9.44140625" style="737" bestFit="1" customWidth="1"/>
    <col min="2259" max="2259" width="9.88671875" style="737" bestFit="1" customWidth="1"/>
    <col min="2260" max="2263" width="9.44140625" style="737" bestFit="1" customWidth="1"/>
    <col min="2264" max="2264" width="5.6640625" style="737" customWidth="1"/>
    <col min="2265" max="2265" width="9.109375" style="737"/>
    <col min="2266" max="2266" width="5.5546875" style="737" customWidth="1"/>
    <col min="2267" max="2267" width="16.44140625" style="737" customWidth="1"/>
    <col min="2268" max="2268" width="10.6640625" style="737" customWidth="1"/>
    <col min="2269" max="2274" width="9.5546875" style="737" customWidth="1"/>
    <col min="2275" max="2275" width="5.5546875" style="737" customWidth="1"/>
    <col min="2276" max="2277" width="9.109375" style="737"/>
    <col min="2278" max="2278" width="5.44140625" style="737" customWidth="1"/>
    <col min="2279" max="2279" width="8.109375" style="737" customWidth="1"/>
    <col min="2280" max="2280" width="9.33203125" style="737" customWidth="1"/>
    <col min="2281" max="2281" width="10.6640625" style="737" customWidth="1"/>
    <col min="2282" max="2282" width="9.33203125" style="737" customWidth="1"/>
    <col min="2283" max="2283" width="5.44140625" style="737" customWidth="1"/>
    <col min="2284" max="2284" width="9.109375" style="737"/>
    <col min="2285" max="2285" width="5.44140625" style="737" customWidth="1"/>
    <col min="2286" max="2288" width="9.44140625" style="737" customWidth="1"/>
    <col min="2289" max="2289" width="5.44140625" style="737" customWidth="1"/>
    <col min="2290" max="2291" width="9.109375" style="737"/>
    <col min="2292" max="2292" width="5.44140625" style="737" customWidth="1"/>
    <col min="2293" max="2293" width="13.5546875" style="737" customWidth="1"/>
    <col min="2294" max="2294" width="13.6640625" style="737" customWidth="1"/>
    <col min="2295" max="2295" width="13.5546875" style="737" customWidth="1"/>
    <col min="2296" max="2296" width="5.44140625" style="737" customWidth="1"/>
    <col min="2297" max="2298" width="9.109375" style="737"/>
    <col min="2299" max="2299" width="5.44140625" style="737" customWidth="1"/>
    <col min="2300" max="2300" width="11.109375" style="737" bestFit="1" customWidth="1"/>
    <col min="2301" max="2308" width="9.44140625" style="737" customWidth="1"/>
    <col min="2309" max="2309" width="5.44140625" style="737" customWidth="1"/>
    <col min="2310" max="2442" width="9.109375" style="737"/>
    <col min="2443" max="2443" width="5.88671875" style="737" customWidth="1"/>
    <col min="2444" max="2444" width="5.6640625" style="737" customWidth="1"/>
    <col min="2445" max="2445" width="35.5546875" style="737" customWidth="1"/>
    <col min="2446" max="2446" width="14.5546875" style="737" customWidth="1"/>
    <col min="2447" max="2447" width="14.44140625" style="737" customWidth="1"/>
    <col min="2448" max="2448" width="5.6640625" style="737" customWidth="1"/>
    <col min="2449" max="2449" width="14.5546875" style="737" customWidth="1"/>
    <col min="2450" max="2451" width="5.88671875" style="737" customWidth="1"/>
    <col min="2452" max="2452" width="26.6640625" style="737" customWidth="1"/>
    <col min="2453" max="2456" width="11.33203125" style="737" customWidth="1"/>
    <col min="2457" max="2457" width="5.5546875" style="737" customWidth="1"/>
    <col min="2458" max="2458" width="14.5546875" style="737" customWidth="1"/>
    <col min="2459" max="2459" width="5.6640625" style="737" customWidth="1"/>
    <col min="2460" max="2460" width="30.88671875" style="737" bestFit="1" customWidth="1"/>
    <col min="2461" max="2461" width="9.109375" style="737"/>
    <col min="2462" max="2462" width="10.88671875" style="737" bestFit="1" customWidth="1"/>
    <col min="2463" max="2463" width="42.44140625" style="737" customWidth="1"/>
    <col min="2464" max="2464" width="5.88671875" style="737" customWidth="1"/>
    <col min="2465" max="2465" width="14.44140625" style="737" customWidth="1"/>
    <col min="2466" max="2466" width="5.5546875" style="737" customWidth="1"/>
    <col min="2467" max="2467" width="16" style="737" bestFit="1" customWidth="1"/>
    <col min="2468" max="2473" width="10.33203125" style="737" customWidth="1"/>
    <col min="2474" max="2474" width="5.5546875" style="737" customWidth="1"/>
    <col min="2475" max="2475" width="9.5546875" style="737" customWidth="1"/>
    <col min="2476" max="2476" width="9.109375" style="737"/>
    <col min="2477" max="2477" width="5.44140625" style="737" customWidth="1"/>
    <col min="2478" max="2480" width="9.109375" style="737"/>
    <col min="2481" max="2481" width="5.44140625" style="737" customWidth="1"/>
    <col min="2482" max="2483" width="9.33203125" style="737" customWidth="1"/>
    <col min="2484" max="2484" width="5.44140625" style="737" customWidth="1"/>
    <col min="2485" max="2485" width="21.6640625" style="737" bestFit="1" customWidth="1"/>
    <col min="2486" max="2489" width="11.44140625" style="737" customWidth="1"/>
    <col min="2490" max="2490" width="5.44140625" style="737" customWidth="1"/>
    <col min="2491" max="2491" width="9.109375" style="737"/>
    <col min="2492" max="2492" width="5.5546875" style="737" customWidth="1"/>
    <col min="2493" max="2493" width="16.88671875" style="737" customWidth="1"/>
    <col min="2494" max="2496" width="14.5546875" style="737" customWidth="1"/>
    <col min="2497" max="2497" width="5.5546875" style="737" customWidth="1"/>
    <col min="2498" max="2499" width="9.109375" style="737"/>
    <col min="2500" max="2500" width="5.6640625" style="737" customWidth="1"/>
    <col min="2501" max="2501" width="9.109375" style="737"/>
    <col min="2502" max="2502" width="9" style="737" customWidth="1"/>
    <col min="2503" max="2503" width="9.44140625" style="737" bestFit="1" customWidth="1"/>
    <col min="2504" max="2504" width="10.44140625" style="737" bestFit="1" customWidth="1"/>
    <col min="2505" max="2508" width="9.44140625" style="737" bestFit="1" customWidth="1"/>
    <col min="2509" max="2509" width="5.6640625" style="737" customWidth="1"/>
    <col min="2510" max="2510" width="9.109375" style="737"/>
    <col min="2511" max="2511" width="5.6640625" style="737" customWidth="1"/>
    <col min="2512" max="2512" width="9.109375" style="737"/>
    <col min="2513" max="2513" width="9" style="737" customWidth="1"/>
    <col min="2514" max="2514" width="9.44140625" style="737" bestFit="1" customWidth="1"/>
    <col min="2515" max="2515" width="9.88671875" style="737" bestFit="1" customWidth="1"/>
    <col min="2516" max="2519" width="9.44140625" style="737" bestFit="1" customWidth="1"/>
    <col min="2520" max="2520" width="5.6640625" style="737" customWidth="1"/>
    <col min="2521" max="2521" width="9.109375" style="737"/>
    <col min="2522" max="2522" width="5.5546875" style="737" customWidth="1"/>
    <col min="2523" max="2523" width="16.44140625" style="737" customWidth="1"/>
    <col min="2524" max="2524" width="10.6640625" style="737" customWidth="1"/>
    <col min="2525" max="2530" width="9.5546875" style="737" customWidth="1"/>
    <col min="2531" max="2531" width="5.5546875" style="737" customWidth="1"/>
    <col min="2532" max="2533" width="9.109375" style="737"/>
    <col min="2534" max="2534" width="5.44140625" style="737" customWidth="1"/>
    <col min="2535" max="2535" width="8.109375" style="737" customWidth="1"/>
    <col min="2536" max="2536" width="9.33203125" style="737" customWidth="1"/>
    <col min="2537" max="2537" width="10.6640625" style="737" customWidth="1"/>
    <col min="2538" max="2538" width="9.33203125" style="737" customWidth="1"/>
    <col min="2539" max="2539" width="5.44140625" style="737" customWidth="1"/>
    <col min="2540" max="2540" width="9.109375" style="737"/>
    <col min="2541" max="2541" width="5.44140625" style="737" customWidth="1"/>
    <col min="2542" max="2544" width="9.44140625" style="737" customWidth="1"/>
    <col min="2545" max="2545" width="5.44140625" style="737" customWidth="1"/>
    <col min="2546" max="2547" width="9.109375" style="737"/>
    <col min="2548" max="2548" width="5.44140625" style="737" customWidth="1"/>
    <col min="2549" max="2549" width="13.5546875" style="737" customWidth="1"/>
    <col min="2550" max="2550" width="13.6640625" style="737" customWidth="1"/>
    <col min="2551" max="2551" width="13.5546875" style="737" customWidth="1"/>
    <col min="2552" max="2552" width="5.44140625" style="737" customWidth="1"/>
    <col min="2553" max="2554" width="9.109375" style="737"/>
    <col min="2555" max="2555" width="5.44140625" style="737" customWidth="1"/>
    <col min="2556" max="2556" width="11.109375" style="737" bestFit="1" customWidth="1"/>
    <col min="2557" max="2564" width="9.44140625" style="737" customWidth="1"/>
    <col min="2565" max="2565" width="5.44140625" style="737" customWidth="1"/>
    <col min="2566" max="2698" width="9.109375" style="737"/>
    <col min="2699" max="2699" width="5.88671875" style="737" customWidth="1"/>
    <col min="2700" max="2700" width="5.6640625" style="737" customWidth="1"/>
    <col min="2701" max="2701" width="35.5546875" style="737" customWidth="1"/>
    <col min="2702" max="2702" width="14.5546875" style="737" customWidth="1"/>
    <col min="2703" max="2703" width="14.44140625" style="737" customWidth="1"/>
    <col min="2704" max="2704" width="5.6640625" style="737" customWidth="1"/>
    <col min="2705" max="2705" width="14.5546875" style="737" customWidth="1"/>
    <col min="2706" max="2707" width="5.88671875" style="737" customWidth="1"/>
    <col min="2708" max="2708" width="26.6640625" style="737" customWidth="1"/>
    <col min="2709" max="2712" width="11.33203125" style="737" customWidth="1"/>
    <col min="2713" max="2713" width="5.5546875" style="737" customWidth="1"/>
    <col min="2714" max="2714" width="14.5546875" style="737" customWidth="1"/>
    <col min="2715" max="2715" width="5.6640625" style="737" customWidth="1"/>
    <col min="2716" max="2716" width="30.88671875" style="737" bestFit="1" customWidth="1"/>
    <col min="2717" max="2717" width="9.109375" style="737"/>
    <col min="2718" max="2718" width="10.88671875" style="737" bestFit="1" customWidth="1"/>
    <col min="2719" max="2719" width="42.44140625" style="737" customWidth="1"/>
    <col min="2720" max="2720" width="5.88671875" style="737" customWidth="1"/>
    <col min="2721" max="2721" width="14.44140625" style="737" customWidth="1"/>
    <col min="2722" max="2722" width="5.5546875" style="737" customWidth="1"/>
    <col min="2723" max="2723" width="16" style="737" bestFit="1" customWidth="1"/>
    <col min="2724" max="2729" width="10.33203125" style="737" customWidth="1"/>
    <col min="2730" max="2730" width="5.5546875" style="737" customWidth="1"/>
    <col min="2731" max="2731" width="9.5546875" style="737" customWidth="1"/>
    <col min="2732" max="2732" width="9.109375" style="737"/>
    <col min="2733" max="2733" width="5.44140625" style="737" customWidth="1"/>
    <col min="2734" max="2736" width="9.109375" style="737"/>
    <col min="2737" max="2737" width="5.44140625" style="737" customWidth="1"/>
    <col min="2738" max="2739" width="9.33203125" style="737" customWidth="1"/>
    <col min="2740" max="2740" width="5.44140625" style="737" customWidth="1"/>
    <col min="2741" max="2741" width="21.6640625" style="737" bestFit="1" customWidth="1"/>
    <col min="2742" max="2745" width="11.44140625" style="737" customWidth="1"/>
    <col min="2746" max="2746" width="5.44140625" style="737" customWidth="1"/>
    <col min="2747" max="2747" width="9.109375" style="737"/>
    <col min="2748" max="2748" width="5.5546875" style="737" customWidth="1"/>
    <col min="2749" max="2749" width="16.88671875" style="737" customWidth="1"/>
    <col min="2750" max="2752" width="14.5546875" style="737" customWidth="1"/>
    <col min="2753" max="2753" width="5.5546875" style="737" customWidth="1"/>
    <col min="2754" max="2755" width="9.109375" style="737"/>
    <col min="2756" max="2756" width="5.6640625" style="737" customWidth="1"/>
    <col min="2757" max="2757" width="9.109375" style="737"/>
    <col min="2758" max="2758" width="9" style="737" customWidth="1"/>
    <col min="2759" max="2759" width="9.44140625" style="737" bestFit="1" customWidth="1"/>
    <col min="2760" max="2760" width="10.44140625" style="737" bestFit="1" customWidth="1"/>
    <col min="2761" max="2764" width="9.44140625" style="737" bestFit="1" customWidth="1"/>
    <col min="2765" max="2765" width="5.6640625" style="737" customWidth="1"/>
    <col min="2766" max="2766" width="9.109375" style="737"/>
    <col min="2767" max="2767" width="5.6640625" style="737" customWidth="1"/>
    <col min="2768" max="2768" width="9.109375" style="737"/>
    <col min="2769" max="2769" width="9" style="737" customWidth="1"/>
    <col min="2770" max="2770" width="9.44140625" style="737" bestFit="1" customWidth="1"/>
    <col min="2771" max="2771" width="9.88671875" style="737" bestFit="1" customWidth="1"/>
    <col min="2772" max="2775" width="9.44140625" style="737" bestFit="1" customWidth="1"/>
    <col min="2776" max="2776" width="5.6640625" style="737" customWidth="1"/>
    <col min="2777" max="2777" width="9.109375" style="737"/>
    <col min="2778" max="2778" width="5.5546875" style="737" customWidth="1"/>
    <col min="2779" max="2779" width="16.44140625" style="737" customWidth="1"/>
    <col min="2780" max="2780" width="10.6640625" style="737" customWidth="1"/>
    <col min="2781" max="2786" width="9.5546875" style="737" customWidth="1"/>
    <col min="2787" max="2787" width="5.5546875" style="737" customWidth="1"/>
    <col min="2788" max="2789" width="9.109375" style="737"/>
    <col min="2790" max="2790" width="5.44140625" style="737" customWidth="1"/>
    <col min="2791" max="2791" width="8.109375" style="737" customWidth="1"/>
    <col min="2792" max="2792" width="9.33203125" style="737" customWidth="1"/>
    <col min="2793" max="2793" width="10.6640625" style="737" customWidth="1"/>
    <col min="2794" max="2794" width="9.33203125" style="737" customWidth="1"/>
    <col min="2795" max="2795" width="5.44140625" style="737" customWidth="1"/>
    <col min="2796" max="2796" width="9.109375" style="737"/>
    <col min="2797" max="2797" width="5.44140625" style="737" customWidth="1"/>
    <col min="2798" max="2800" width="9.44140625" style="737" customWidth="1"/>
    <col min="2801" max="2801" width="5.44140625" style="737" customWidth="1"/>
    <col min="2802" max="2803" width="9.109375" style="737"/>
    <col min="2804" max="2804" width="5.44140625" style="737" customWidth="1"/>
    <col min="2805" max="2805" width="13.5546875" style="737" customWidth="1"/>
    <col min="2806" max="2806" width="13.6640625" style="737" customWidth="1"/>
    <col min="2807" max="2807" width="13.5546875" style="737" customWidth="1"/>
    <col min="2808" max="2808" width="5.44140625" style="737" customWidth="1"/>
    <col min="2809" max="2810" width="9.109375" style="737"/>
    <col min="2811" max="2811" width="5.44140625" style="737" customWidth="1"/>
    <col min="2812" max="2812" width="11.109375" style="737" bestFit="1" customWidth="1"/>
    <col min="2813" max="2820" width="9.44140625" style="737" customWidth="1"/>
    <col min="2821" max="2821" width="5.44140625" style="737" customWidth="1"/>
    <col min="2822" max="2954" width="9.109375" style="737"/>
    <col min="2955" max="2955" width="5.88671875" style="737" customWidth="1"/>
    <col min="2956" max="2956" width="5.6640625" style="737" customWidth="1"/>
    <col min="2957" max="2957" width="35.5546875" style="737" customWidth="1"/>
    <col min="2958" max="2958" width="14.5546875" style="737" customWidth="1"/>
    <col min="2959" max="2959" width="14.44140625" style="737" customWidth="1"/>
    <col min="2960" max="2960" width="5.6640625" style="737" customWidth="1"/>
    <col min="2961" max="2961" width="14.5546875" style="737" customWidth="1"/>
    <col min="2962" max="2963" width="5.88671875" style="737" customWidth="1"/>
    <col min="2964" max="2964" width="26.6640625" style="737" customWidth="1"/>
    <col min="2965" max="2968" width="11.33203125" style="737" customWidth="1"/>
    <col min="2969" max="2969" width="5.5546875" style="737" customWidth="1"/>
    <col min="2970" max="2970" width="14.5546875" style="737" customWidth="1"/>
    <col min="2971" max="2971" width="5.6640625" style="737" customWidth="1"/>
    <col min="2972" max="2972" width="30.88671875" style="737" bestFit="1" customWidth="1"/>
    <col min="2973" max="2973" width="9.109375" style="737"/>
    <col min="2974" max="2974" width="10.88671875" style="737" bestFit="1" customWidth="1"/>
    <col min="2975" max="2975" width="42.44140625" style="737" customWidth="1"/>
    <col min="2976" max="2976" width="5.88671875" style="737" customWidth="1"/>
    <col min="2977" max="2977" width="14.44140625" style="737" customWidth="1"/>
    <col min="2978" max="2978" width="5.5546875" style="737" customWidth="1"/>
    <col min="2979" max="2979" width="16" style="737" bestFit="1" customWidth="1"/>
    <col min="2980" max="2985" width="10.33203125" style="737" customWidth="1"/>
    <col min="2986" max="2986" width="5.5546875" style="737" customWidth="1"/>
    <col min="2987" max="2987" width="9.5546875" style="737" customWidth="1"/>
    <col min="2988" max="2988" width="9.109375" style="737"/>
    <col min="2989" max="2989" width="5.44140625" style="737" customWidth="1"/>
    <col min="2990" max="2992" width="9.109375" style="737"/>
    <col min="2993" max="2993" width="5.44140625" style="737" customWidth="1"/>
    <col min="2994" max="2995" width="9.33203125" style="737" customWidth="1"/>
    <col min="2996" max="2996" width="5.44140625" style="737" customWidth="1"/>
    <col min="2997" max="2997" width="21.6640625" style="737" bestFit="1" customWidth="1"/>
    <col min="2998" max="3001" width="11.44140625" style="737" customWidth="1"/>
    <col min="3002" max="3002" width="5.44140625" style="737" customWidth="1"/>
    <col min="3003" max="3003" width="9.109375" style="737"/>
    <col min="3004" max="3004" width="5.5546875" style="737" customWidth="1"/>
    <col min="3005" max="3005" width="16.88671875" style="737" customWidth="1"/>
    <col min="3006" max="3008" width="14.5546875" style="737" customWidth="1"/>
    <col min="3009" max="3009" width="5.5546875" style="737" customWidth="1"/>
    <col min="3010" max="3011" width="9.109375" style="737"/>
    <col min="3012" max="3012" width="5.6640625" style="737" customWidth="1"/>
    <col min="3013" max="3013" width="9.109375" style="737"/>
    <col min="3014" max="3014" width="9" style="737" customWidth="1"/>
    <col min="3015" max="3015" width="9.44140625" style="737" bestFit="1" customWidth="1"/>
    <col min="3016" max="3016" width="10.44140625" style="737" bestFit="1" customWidth="1"/>
    <col min="3017" max="3020" width="9.44140625" style="737" bestFit="1" customWidth="1"/>
    <col min="3021" max="3021" width="5.6640625" style="737" customWidth="1"/>
    <col min="3022" max="3022" width="9.109375" style="737"/>
    <col min="3023" max="3023" width="5.6640625" style="737" customWidth="1"/>
    <col min="3024" max="3024" width="9.109375" style="737"/>
    <col min="3025" max="3025" width="9" style="737" customWidth="1"/>
    <col min="3026" max="3026" width="9.44140625" style="737" bestFit="1" customWidth="1"/>
    <col min="3027" max="3027" width="9.88671875" style="737" bestFit="1" customWidth="1"/>
    <col min="3028" max="3031" width="9.44140625" style="737" bestFit="1" customWidth="1"/>
    <col min="3032" max="3032" width="5.6640625" style="737" customWidth="1"/>
    <col min="3033" max="3033" width="9.109375" style="737"/>
    <col min="3034" max="3034" width="5.5546875" style="737" customWidth="1"/>
    <col min="3035" max="3035" width="16.44140625" style="737" customWidth="1"/>
    <col min="3036" max="3036" width="10.6640625" style="737" customWidth="1"/>
    <col min="3037" max="3042" width="9.5546875" style="737" customWidth="1"/>
    <col min="3043" max="3043" width="5.5546875" style="737" customWidth="1"/>
    <col min="3044" max="3045" width="9.109375" style="737"/>
    <col min="3046" max="3046" width="5.44140625" style="737" customWidth="1"/>
    <col min="3047" max="3047" width="8.109375" style="737" customWidth="1"/>
    <col min="3048" max="3048" width="9.33203125" style="737" customWidth="1"/>
    <col min="3049" max="3049" width="10.6640625" style="737" customWidth="1"/>
    <col min="3050" max="3050" width="9.33203125" style="737" customWidth="1"/>
    <col min="3051" max="3051" width="5.44140625" style="737" customWidth="1"/>
    <col min="3052" max="3052" width="9.109375" style="737"/>
    <col min="3053" max="3053" width="5.44140625" style="737" customWidth="1"/>
    <col min="3054" max="3056" width="9.44140625" style="737" customWidth="1"/>
    <col min="3057" max="3057" width="5.44140625" style="737" customWidth="1"/>
    <col min="3058" max="3059" width="9.109375" style="737"/>
    <col min="3060" max="3060" width="5.44140625" style="737" customWidth="1"/>
    <col min="3061" max="3061" width="13.5546875" style="737" customWidth="1"/>
    <col min="3062" max="3062" width="13.6640625" style="737" customWidth="1"/>
    <col min="3063" max="3063" width="13.5546875" style="737" customWidth="1"/>
    <col min="3064" max="3064" width="5.44140625" style="737" customWidth="1"/>
    <col min="3065" max="3066" width="9.109375" style="737"/>
    <col min="3067" max="3067" width="5.44140625" style="737" customWidth="1"/>
    <col min="3068" max="3068" width="11.109375" style="737" bestFit="1" customWidth="1"/>
    <col min="3069" max="3076" width="9.44140625" style="737" customWidth="1"/>
    <col min="3077" max="3077" width="5.44140625" style="737" customWidth="1"/>
    <col min="3078" max="3210" width="9.109375" style="737"/>
    <col min="3211" max="3211" width="5.88671875" style="737" customWidth="1"/>
    <col min="3212" max="3212" width="5.6640625" style="737" customWidth="1"/>
    <col min="3213" max="3213" width="35.5546875" style="737" customWidth="1"/>
    <col min="3214" max="3214" width="14.5546875" style="737" customWidth="1"/>
    <col min="3215" max="3215" width="14.44140625" style="737" customWidth="1"/>
    <col min="3216" max="3216" width="5.6640625" style="737" customWidth="1"/>
    <col min="3217" max="3217" width="14.5546875" style="737" customWidth="1"/>
    <col min="3218" max="3219" width="5.88671875" style="737" customWidth="1"/>
    <col min="3220" max="3220" width="26.6640625" style="737" customWidth="1"/>
    <col min="3221" max="3224" width="11.33203125" style="737" customWidth="1"/>
    <col min="3225" max="3225" width="5.5546875" style="737" customWidth="1"/>
    <col min="3226" max="3226" width="14.5546875" style="737" customWidth="1"/>
    <col min="3227" max="3227" width="5.6640625" style="737" customWidth="1"/>
    <col min="3228" max="3228" width="30.88671875" style="737" bestFit="1" customWidth="1"/>
    <col min="3229" max="3229" width="9.109375" style="737"/>
    <col min="3230" max="3230" width="10.88671875" style="737" bestFit="1" customWidth="1"/>
    <col min="3231" max="3231" width="42.44140625" style="737" customWidth="1"/>
    <col min="3232" max="3232" width="5.88671875" style="737" customWidth="1"/>
    <col min="3233" max="3233" width="14.44140625" style="737" customWidth="1"/>
    <col min="3234" max="3234" width="5.5546875" style="737" customWidth="1"/>
    <col min="3235" max="3235" width="16" style="737" bestFit="1" customWidth="1"/>
    <col min="3236" max="3241" width="10.33203125" style="737" customWidth="1"/>
    <col min="3242" max="3242" width="5.5546875" style="737" customWidth="1"/>
    <col min="3243" max="3243" width="9.5546875" style="737" customWidth="1"/>
    <col min="3244" max="3244" width="9.109375" style="737"/>
    <col min="3245" max="3245" width="5.44140625" style="737" customWidth="1"/>
    <col min="3246" max="3248" width="9.109375" style="737"/>
    <col min="3249" max="3249" width="5.44140625" style="737" customWidth="1"/>
    <col min="3250" max="3251" width="9.33203125" style="737" customWidth="1"/>
    <col min="3252" max="3252" width="5.44140625" style="737" customWidth="1"/>
    <col min="3253" max="3253" width="21.6640625" style="737" bestFit="1" customWidth="1"/>
    <col min="3254" max="3257" width="11.44140625" style="737" customWidth="1"/>
    <col min="3258" max="3258" width="5.44140625" style="737" customWidth="1"/>
    <col min="3259" max="3259" width="9.109375" style="737"/>
    <col min="3260" max="3260" width="5.5546875" style="737" customWidth="1"/>
    <col min="3261" max="3261" width="16.88671875" style="737" customWidth="1"/>
    <col min="3262" max="3264" width="14.5546875" style="737" customWidth="1"/>
    <col min="3265" max="3265" width="5.5546875" style="737" customWidth="1"/>
    <col min="3266" max="3267" width="9.109375" style="737"/>
    <col min="3268" max="3268" width="5.6640625" style="737" customWidth="1"/>
    <col min="3269" max="3269" width="9.109375" style="737"/>
    <col min="3270" max="3270" width="9" style="737" customWidth="1"/>
    <col min="3271" max="3271" width="9.44140625" style="737" bestFit="1" customWidth="1"/>
    <col min="3272" max="3272" width="10.44140625" style="737" bestFit="1" customWidth="1"/>
    <col min="3273" max="3276" width="9.44140625" style="737" bestFit="1" customWidth="1"/>
    <col min="3277" max="3277" width="5.6640625" style="737" customWidth="1"/>
    <col min="3278" max="3278" width="9.109375" style="737"/>
    <col min="3279" max="3279" width="5.6640625" style="737" customWidth="1"/>
    <col min="3280" max="3280" width="9.109375" style="737"/>
    <col min="3281" max="3281" width="9" style="737" customWidth="1"/>
    <col min="3282" max="3282" width="9.44140625" style="737" bestFit="1" customWidth="1"/>
    <col min="3283" max="3283" width="9.88671875" style="737" bestFit="1" customWidth="1"/>
    <col min="3284" max="3287" width="9.44140625" style="737" bestFit="1" customWidth="1"/>
    <col min="3288" max="3288" width="5.6640625" style="737" customWidth="1"/>
    <col min="3289" max="3289" width="9.109375" style="737"/>
    <col min="3290" max="3290" width="5.5546875" style="737" customWidth="1"/>
    <col min="3291" max="3291" width="16.44140625" style="737" customWidth="1"/>
    <col min="3292" max="3292" width="10.6640625" style="737" customWidth="1"/>
    <col min="3293" max="3298" width="9.5546875" style="737" customWidth="1"/>
    <col min="3299" max="3299" width="5.5546875" style="737" customWidth="1"/>
    <col min="3300" max="3301" width="9.109375" style="737"/>
    <col min="3302" max="3302" width="5.44140625" style="737" customWidth="1"/>
    <col min="3303" max="3303" width="8.109375" style="737" customWidth="1"/>
    <col min="3304" max="3304" width="9.33203125" style="737" customWidth="1"/>
    <col min="3305" max="3305" width="10.6640625" style="737" customWidth="1"/>
    <col min="3306" max="3306" width="9.33203125" style="737" customWidth="1"/>
    <col min="3307" max="3307" width="5.44140625" style="737" customWidth="1"/>
    <col min="3308" max="3308" width="9.109375" style="737"/>
    <col min="3309" max="3309" width="5.44140625" style="737" customWidth="1"/>
    <col min="3310" max="3312" width="9.44140625" style="737" customWidth="1"/>
    <col min="3313" max="3313" width="5.44140625" style="737" customWidth="1"/>
    <col min="3314" max="3315" width="9.109375" style="737"/>
    <col min="3316" max="3316" width="5.44140625" style="737" customWidth="1"/>
    <col min="3317" max="3317" width="13.5546875" style="737" customWidth="1"/>
    <col min="3318" max="3318" width="13.6640625" style="737" customWidth="1"/>
    <col min="3319" max="3319" width="13.5546875" style="737" customWidth="1"/>
    <col min="3320" max="3320" width="5.44140625" style="737" customWidth="1"/>
    <col min="3321" max="3322" width="9.109375" style="737"/>
    <col min="3323" max="3323" width="5.44140625" style="737" customWidth="1"/>
    <col min="3324" max="3324" width="11.109375" style="737" bestFit="1" customWidth="1"/>
    <col min="3325" max="3332" width="9.44140625" style="737" customWidth="1"/>
    <col min="3333" max="3333" width="5.44140625" style="737" customWidth="1"/>
    <col min="3334" max="3466" width="9.109375" style="737"/>
    <col min="3467" max="3467" width="5.88671875" style="737" customWidth="1"/>
    <col min="3468" max="3468" width="5.6640625" style="737" customWidth="1"/>
    <col min="3469" max="3469" width="35.5546875" style="737" customWidth="1"/>
    <col min="3470" max="3470" width="14.5546875" style="737" customWidth="1"/>
    <col min="3471" max="3471" width="14.44140625" style="737" customWidth="1"/>
    <col min="3472" max="3472" width="5.6640625" style="737" customWidth="1"/>
    <col min="3473" max="3473" width="14.5546875" style="737" customWidth="1"/>
    <col min="3474" max="3475" width="5.88671875" style="737" customWidth="1"/>
    <col min="3476" max="3476" width="26.6640625" style="737" customWidth="1"/>
    <col min="3477" max="3480" width="11.33203125" style="737" customWidth="1"/>
    <col min="3481" max="3481" width="5.5546875" style="737" customWidth="1"/>
    <col min="3482" max="3482" width="14.5546875" style="737" customWidth="1"/>
    <col min="3483" max="3483" width="5.6640625" style="737" customWidth="1"/>
    <col min="3484" max="3484" width="30.88671875" style="737" bestFit="1" customWidth="1"/>
    <col min="3485" max="3485" width="9.109375" style="737"/>
    <col min="3486" max="3486" width="10.88671875" style="737" bestFit="1" customWidth="1"/>
    <col min="3487" max="3487" width="42.44140625" style="737" customWidth="1"/>
    <col min="3488" max="3488" width="5.88671875" style="737" customWidth="1"/>
    <col min="3489" max="3489" width="14.44140625" style="737" customWidth="1"/>
    <col min="3490" max="3490" width="5.5546875" style="737" customWidth="1"/>
    <col min="3491" max="3491" width="16" style="737" bestFit="1" customWidth="1"/>
    <col min="3492" max="3497" width="10.33203125" style="737" customWidth="1"/>
    <col min="3498" max="3498" width="5.5546875" style="737" customWidth="1"/>
    <col min="3499" max="3499" width="9.5546875" style="737" customWidth="1"/>
    <col min="3500" max="3500" width="9.109375" style="737"/>
    <col min="3501" max="3501" width="5.44140625" style="737" customWidth="1"/>
    <col min="3502" max="3504" width="9.109375" style="737"/>
    <col min="3505" max="3505" width="5.44140625" style="737" customWidth="1"/>
    <col min="3506" max="3507" width="9.33203125" style="737" customWidth="1"/>
    <col min="3508" max="3508" width="5.44140625" style="737" customWidth="1"/>
    <col min="3509" max="3509" width="21.6640625" style="737" bestFit="1" customWidth="1"/>
    <col min="3510" max="3513" width="11.44140625" style="737" customWidth="1"/>
    <col min="3514" max="3514" width="5.44140625" style="737" customWidth="1"/>
    <col min="3515" max="3515" width="9.109375" style="737"/>
    <col min="3516" max="3516" width="5.5546875" style="737" customWidth="1"/>
    <col min="3517" max="3517" width="16.88671875" style="737" customWidth="1"/>
    <col min="3518" max="3520" width="14.5546875" style="737" customWidth="1"/>
    <col min="3521" max="3521" width="5.5546875" style="737" customWidth="1"/>
    <col min="3522" max="3523" width="9.109375" style="737"/>
    <col min="3524" max="3524" width="5.6640625" style="737" customWidth="1"/>
    <col min="3525" max="3525" width="9.109375" style="737"/>
    <col min="3526" max="3526" width="9" style="737" customWidth="1"/>
    <col min="3527" max="3527" width="9.44140625" style="737" bestFit="1" customWidth="1"/>
    <col min="3528" max="3528" width="10.44140625" style="737" bestFit="1" customWidth="1"/>
    <col min="3529" max="3532" width="9.44140625" style="737" bestFit="1" customWidth="1"/>
    <col min="3533" max="3533" width="5.6640625" style="737" customWidth="1"/>
    <col min="3534" max="3534" width="9.109375" style="737"/>
    <col min="3535" max="3535" width="5.6640625" style="737" customWidth="1"/>
    <col min="3536" max="3536" width="9.109375" style="737"/>
    <col min="3537" max="3537" width="9" style="737" customWidth="1"/>
    <col min="3538" max="3538" width="9.44140625" style="737" bestFit="1" customWidth="1"/>
    <col min="3539" max="3539" width="9.88671875" style="737" bestFit="1" customWidth="1"/>
    <col min="3540" max="3543" width="9.44140625" style="737" bestFit="1" customWidth="1"/>
    <col min="3544" max="3544" width="5.6640625" style="737" customWidth="1"/>
    <col min="3545" max="3545" width="9.109375" style="737"/>
    <col min="3546" max="3546" width="5.5546875" style="737" customWidth="1"/>
    <col min="3547" max="3547" width="16.44140625" style="737" customWidth="1"/>
    <col min="3548" max="3548" width="10.6640625" style="737" customWidth="1"/>
    <col min="3549" max="3554" width="9.5546875" style="737" customWidth="1"/>
    <col min="3555" max="3555" width="5.5546875" style="737" customWidth="1"/>
    <col min="3556" max="3557" width="9.109375" style="737"/>
    <col min="3558" max="3558" width="5.44140625" style="737" customWidth="1"/>
    <col min="3559" max="3559" width="8.109375" style="737" customWidth="1"/>
    <col min="3560" max="3560" width="9.33203125" style="737" customWidth="1"/>
    <col min="3561" max="3561" width="10.6640625" style="737" customWidth="1"/>
    <col min="3562" max="3562" width="9.33203125" style="737" customWidth="1"/>
    <col min="3563" max="3563" width="5.44140625" style="737" customWidth="1"/>
    <col min="3564" max="3564" width="9.109375" style="737"/>
    <col min="3565" max="3565" width="5.44140625" style="737" customWidth="1"/>
    <col min="3566" max="3568" width="9.44140625" style="737" customWidth="1"/>
    <col min="3569" max="3569" width="5.44140625" style="737" customWidth="1"/>
    <col min="3570" max="3571" width="9.109375" style="737"/>
    <col min="3572" max="3572" width="5.44140625" style="737" customWidth="1"/>
    <col min="3573" max="3573" width="13.5546875" style="737" customWidth="1"/>
    <col min="3574" max="3574" width="13.6640625" style="737" customWidth="1"/>
    <col min="3575" max="3575" width="13.5546875" style="737" customWidth="1"/>
    <col min="3576" max="3576" width="5.44140625" style="737" customWidth="1"/>
    <col min="3577" max="3578" width="9.109375" style="737"/>
    <col min="3579" max="3579" width="5.44140625" style="737" customWidth="1"/>
    <col min="3580" max="3580" width="11.109375" style="737" bestFit="1" customWidth="1"/>
    <col min="3581" max="3588" width="9.44140625" style="737" customWidth="1"/>
    <col min="3589" max="3589" width="5.44140625" style="737" customWidth="1"/>
    <col min="3590" max="3722" width="9.109375" style="737"/>
    <col min="3723" max="3723" width="5.88671875" style="737" customWidth="1"/>
    <col min="3724" max="3724" width="5.6640625" style="737" customWidth="1"/>
    <col min="3725" max="3725" width="35.5546875" style="737" customWidth="1"/>
    <col min="3726" max="3726" width="14.5546875" style="737" customWidth="1"/>
    <col min="3727" max="3727" width="14.44140625" style="737" customWidth="1"/>
    <col min="3728" max="3728" width="5.6640625" style="737" customWidth="1"/>
    <col min="3729" max="3729" width="14.5546875" style="737" customWidth="1"/>
    <col min="3730" max="3731" width="5.88671875" style="737" customWidth="1"/>
    <col min="3732" max="3732" width="26.6640625" style="737" customWidth="1"/>
    <col min="3733" max="3736" width="11.33203125" style="737" customWidth="1"/>
    <col min="3737" max="3737" width="5.5546875" style="737" customWidth="1"/>
    <col min="3738" max="3738" width="14.5546875" style="737" customWidth="1"/>
    <col min="3739" max="3739" width="5.6640625" style="737" customWidth="1"/>
    <col min="3740" max="3740" width="30.88671875" style="737" bestFit="1" customWidth="1"/>
    <col min="3741" max="3741" width="9.109375" style="737"/>
    <col min="3742" max="3742" width="10.88671875" style="737" bestFit="1" customWidth="1"/>
    <col min="3743" max="3743" width="42.44140625" style="737" customWidth="1"/>
    <col min="3744" max="3744" width="5.88671875" style="737" customWidth="1"/>
    <col min="3745" max="3745" width="14.44140625" style="737" customWidth="1"/>
    <col min="3746" max="3746" width="5.5546875" style="737" customWidth="1"/>
    <col min="3747" max="3747" width="16" style="737" bestFit="1" customWidth="1"/>
    <col min="3748" max="3753" width="10.33203125" style="737" customWidth="1"/>
    <col min="3754" max="3754" width="5.5546875" style="737" customWidth="1"/>
    <col min="3755" max="3755" width="9.5546875" style="737" customWidth="1"/>
    <col min="3756" max="3756" width="9.109375" style="737"/>
    <col min="3757" max="3757" width="5.44140625" style="737" customWidth="1"/>
    <col min="3758" max="3760" width="9.109375" style="737"/>
    <col min="3761" max="3761" width="5.44140625" style="737" customWidth="1"/>
    <col min="3762" max="3763" width="9.33203125" style="737" customWidth="1"/>
    <col min="3764" max="3764" width="5.44140625" style="737" customWidth="1"/>
    <col min="3765" max="3765" width="21.6640625" style="737" bestFit="1" customWidth="1"/>
    <col min="3766" max="3769" width="11.44140625" style="737" customWidth="1"/>
    <col min="3770" max="3770" width="5.44140625" style="737" customWidth="1"/>
    <col min="3771" max="3771" width="9.109375" style="737"/>
    <col min="3772" max="3772" width="5.5546875" style="737" customWidth="1"/>
    <col min="3773" max="3773" width="16.88671875" style="737" customWidth="1"/>
    <col min="3774" max="3776" width="14.5546875" style="737" customWidth="1"/>
    <col min="3777" max="3777" width="5.5546875" style="737" customWidth="1"/>
    <col min="3778" max="3779" width="9.109375" style="737"/>
    <col min="3780" max="3780" width="5.6640625" style="737" customWidth="1"/>
    <col min="3781" max="3781" width="9.109375" style="737"/>
    <col min="3782" max="3782" width="9" style="737" customWidth="1"/>
    <col min="3783" max="3783" width="9.44140625" style="737" bestFit="1" customWidth="1"/>
    <col min="3784" max="3784" width="10.44140625" style="737" bestFit="1" customWidth="1"/>
    <col min="3785" max="3788" width="9.44140625" style="737" bestFit="1" customWidth="1"/>
    <col min="3789" max="3789" width="5.6640625" style="737" customWidth="1"/>
    <col min="3790" max="3790" width="9.109375" style="737"/>
    <col min="3791" max="3791" width="5.6640625" style="737" customWidth="1"/>
    <col min="3792" max="3792" width="9.109375" style="737"/>
    <col min="3793" max="3793" width="9" style="737" customWidth="1"/>
    <col min="3794" max="3794" width="9.44140625" style="737" bestFit="1" customWidth="1"/>
    <col min="3795" max="3795" width="9.88671875" style="737" bestFit="1" customWidth="1"/>
    <col min="3796" max="3799" width="9.44140625" style="737" bestFit="1" customWidth="1"/>
    <col min="3800" max="3800" width="5.6640625" style="737" customWidth="1"/>
    <col min="3801" max="3801" width="9.109375" style="737"/>
    <col min="3802" max="3802" width="5.5546875" style="737" customWidth="1"/>
    <col min="3803" max="3803" width="16.44140625" style="737" customWidth="1"/>
    <col min="3804" max="3804" width="10.6640625" style="737" customWidth="1"/>
    <col min="3805" max="3810" width="9.5546875" style="737" customWidth="1"/>
    <col min="3811" max="3811" width="5.5546875" style="737" customWidth="1"/>
    <col min="3812" max="3813" width="9.109375" style="737"/>
    <col min="3814" max="3814" width="5.44140625" style="737" customWidth="1"/>
    <col min="3815" max="3815" width="8.109375" style="737" customWidth="1"/>
    <col min="3816" max="3816" width="9.33203125" style="737" customWidth="1"/>
    <col min="3817" max="3817" width="10.6640625" style="737" customWidth="1"/>
    <col min="3818" max="3818" width="9.33203125" style="737" customWidth="1"/>
    <col min="3819" max="3819" width="5.44140625" style="737" customWidth="1"/>
    <col min="3820" max="3820" width="9.109375" style="737"/>
    <col min="3821" max="3821" width="5.44140625" style="737" customWidth="1"/>
    <col min="3822" max="3824" width="9.44140625" style="737" customWidth="1"/>
    <col min="3825" max="3825" width="5.44140625" style="737" customWidth="1"/>
    <col min="3826" max="3827" width="9.109375" style="737"/>
    <col min="3828" max="3828" width="5.44140625" style="737" customWidth="1"/>
    <col min="3829" max="3829" width="13.5546875" style="737" customWidth="1"/>
    <col min="3830" max="3830" width="13.6640625" style="737" customWidth="1"/>
    <col min="3831" max="3831" width="13.5546875" style="737" customWidth="1"/>
    <col min="3832" max="3832" width="5.44140625" style="737" customWidth="1"/>
    <col min="3833" max="3834" width="9.109375" style="737"/>
    <col min="3835" max="3835" width="5.44140625" style="737" customWidth="1"/>
    <col min="3836" max="3836" width="11.109375" style="737" bestFit="1" customWidth="1"/>
    <col min="3837" max="3844" width="9.44140625" style="737" customWidth="1"/>
    <col min="3845" max="3845" width="5.44140625" style="737" customWidth="1"/>
    <col min="3846" max="3978" width="9.109375" style="737"/>
    <col min="3979" max="3979" width="5.88671875" style="737" customWidth="1"/>
    <col min="3980" max="3980" width="5.6640625" style="737" customWidth="1"/>
    <col min="3981" max="3981" width="35.5546875" style="737" customWidth="1"/>
    <col min="3982" max="3982" width="14.5546875" style="737" customWidth="1"/>
    <col min="3983" max="3983" width="14.44140625" style="737" customWidth="1"/>
    <col min="3984" max="3984" width="5.6640625" style="737" customWidth="1"/>
    <col min="3985" max="3985" width="14.5546875" style="737" customWidth="1"/>
    <col min="3986" max="3987" width="5.88671875" style="737" customWidth="1"/>
    <col min="3988" max="3988" width="26.6640625" style="737" customWidth="1"/>
    <col min="3989" max="3992" width="11.33203125" style="737" customWidth="1"/>
    <col min="3993" max="3993" width="5.5546875" style="737" customWidth="1"/>
    <col min="3994" max="3994" width="14.5546875" style="737" customWidth="1"/>
    <col min="3995" max="3995" width="5.6640625" style="737" customWidth="1"/>
    <col min="3996" max="3996" width="30.88671875" style="737" bestFit="1" customWidth="1"/>
    <col min="3997" max="3997" width="9.109375" style="737"/>
    <col min="3998" max="3998" width="10.88671875" style="737" bestFit="1" customWidth="1"/>
    <col min="3999" max="3999" width="42.44140625" style="737" customWidth="1"/>
    <col min="4000" max="4000" width="5.88671875" style="737" customWidth="1"/>
    <col min="4001" max="4001" width="14.44140625" style="737" customWidth="1"/>
    <col min="4002" max="4002" width="5.5546875" style="737" customWidth="1"/>
    <col min="4003" max="4003" width="16" style="737" bestFit="1" customWidth="1"/>
    <col min="4004" max="4009" width="10.33203125" style="737" customWidth="1"/>
    <col min="4010" max="4010" width="5.5546875" style="737" customWidth="1"/>
    <col min="4011" max="4011" width="9.5546875" style="737" customWidth="1"/>
    <col min="4012" max="4012" width="9.109375" style="737"/>
    <col min="4013" max="4013" width="5.44140625" style="737" customWidth="1"/>
    <col min="4014" max="4016" width="9.109375" style="737"/>
    <col min="4017" max="4017" width="5.44140625" style="737" customWidth="1"/>
    <col min="4018" max="4019" width="9.33203125" style="737" customWidth="1"/>
    <col min="4020" max="4020" width="5.44140625" style="737" customWidth="1"/>
    <col min="4021" max="4021" width="21.6640625" style="737" bestFit="1" customWidth="1"/>
    <col min="4022" max="4025" width="11.44140625" style="737" customWidth="1"/>
    <col min="4026" max="4026" width="5.44140625" style="737" customWidth="1"/>
    <col min="4027" max="4027" width="9.109375" style="737"/>
    <col min="4028" max="4028" width="5.5546875" style="737" customWidth="1"/>
    <col min="4029" max="4029" width="16.88671875" style="737" customWidth="1"/>
    <col min="4030" max="4032" width="14.5546875" style="737" customWidth="1"/>
    <col min="4033" max="4033" width="5.5546875" style="737" customWidth="1"/>
    <col min="4034" max="4035" width="9.109375" style="737"/>
    <col min="4036" max="4036" width="5.6640625" style="737" customWidth="1"/>
    <col min="4037" max="4037" width="9.109375" style="737"/>
    <col min="4038" max="4038" width="9" style="737" customWidth="1"/>
    <col min="4039" max="4039" width="9.44140625" style="737" bestFit="1" customWidth="1"/>
    <col min="4040" max="4040" width="10.44140625" style="737" bestFit="1" customWidth="1"/>
    <col min="4041" max="4044" width="9.44140625" style="737" bestFit="1" customWidth="1"/>
    <col min="4045" max="4045" width="5.6640625" style="737" customWidth="1"/>
    <col min="4046" max="4046" width="9.109375" style="737"/>
    <col min="4047" max="4047" width="5.6640625" style="737" customWidth="1"/>
    <col min="4048" max="4048" width="9.109375" style="737"/>
    <col min="4049" max="4049" width="9" style="737" customWidth="1"/>
    <col min="4050" max="4050" width="9.44140625" style="737" bestFit="1" customWidth="1"/>
    <col min="4051" max="4051" width="9.88671875" style="737" bestFit="1" customWidth="1"/>
    <col min="4052" max="4055" width="9.44140625" style="737" bestFit="1" customWidth="1"/>
    <col min="4056" max="4056" width="5.6640625" style="737" customWidth="1"/>
    <col min="4057" max="4057" width="9.109375" style="737"/>
    <col min="4058" max="4058" width="5.5546875" style="737" customWidth="1"/>
    <col min="4059" max="4059" width="16.44140625" style="737" customWidth="1"/>
    <col min="4060" max="4060" width="10.6640625" style="737" customWidth="1"/>
    <col min="4061" max="4066" width="9.5546875" style="737" customWidth="1"/>
    <col min="4067" max="4067" width="5.5546875" style="737" customWidth="1"/>
    <col min="4068" max="4069" width="9.109375" style="737"/>
    <col min="4070" max="4070" width="5.44140625" style="737" customWidth="1"/>
    <col min="4071" max="4071" width="8.109375" style="737" customWidth="1"/>
    <col min="4072" max="4072" width="9.33203125" style="737" customWidth="1"/>
    <col min="4073" max="4073" width="10.6640625" style="737" customWidth="1"/>
    <col min="4074" max="4074" width="9.33203125" style="737" customWidth="1"/>
    <col min="4075" max="4075" width="5.44140625" style="737" customWidth="1"/>
    <col min="4076" max="4076" width="9.109375" style="737"/>
    <col min="4077" max="4077" width="5.44140625" style="737" customWidth="1"/>
    <col min="4078" max="4080" width="9.44140625" style="737" customWidth="1"/>
    <col min="4081" max="4081" width="5.44140625" style="737" customWidth="1"/>
    <col min="4082" max="4083" width="9.109375" style="737"/>
    <col min="4084" max="4084" width="5.44140625" style="737" customWidth="1"/>
    <col min="4085" max="4085" width="13.5546875" style="737" customWidth="1"/>
    <col min="4086" max="4086" width="13.6640625" style="737" customWidth="1"/>
    <col min="4087" max="4087" width="13.5546875" style="737" customWidth="1"/>
    <col min="4088" max="4088" width="5.44140625" style="737" customWidth="1"/>
    <col min="4089" max="4090" width="9.109375" style="737"/>
    <col min="4091" max="4091" width="5.44140625" style="737" customWidth="1"/>
    <col min="4092" max="4092" width="11.109375" style="737" bestFit="1" customWidth="1"/>
    <col min="4093" max="4100" width="9.44140625" style="737" customWidth="1"/>
    <col min="4101" max="4101" width="5.44140625" style="737" customWidth="1"/>
    <col min="4102" max="4234" width="9.109375" style="737"/>
    <col min="4235" max="4235" width="5.88671875" style="737" customWidth="1"/>
    <col min="4236" max="4236" width="5.6640625" style="737" customWidth="1"/>
    <col min="4237" max="4237" width="35.5546875" style="737" customWidth="1"/>
    <col min="4238" max="4238" width="14.5546875" style="737" customWidth="1"/>
    <col min="4239" max="4239" width="14.44140625" style="737" customWidth="1"/>
    <col min="4240" max="4240" width="5.6640625" style="737" customWidth="1"/>
    <col min="4241" max="4241" width="14.5546875" style="737" customWidth="1"/>
    <col min="4242" max="4243" width="5.88671875" style="737" customWidth="1"/>
    <col min="4244" max="4244" width="26.6640625" style="737" customWidth="1"/>
    <col min="4245" max="4248" width="11.33203125" style="737" customWidth="1"/>
    <col min="4249" max="4249" width="5.5546875" style="737" customWidth="1"/>
    <col min="4250" max="4250" width="14.5546875" style="737" customWidth="1"/>
    <col min="4251" max="4251" width="5.6640625" style="737" customWidth="1"/>
    <col min="4252" max="4252" width="30.88671875" style="737" bestFit="1" customWidth="1"/>
    <col min="4253" max="4253" width="9.109375" style="737"/>
    <col min="4254" max="4254" width="10.88671875" style="737" bestFit="1" customWidth="1"/>
    <col min="4255" max="4255" width="42.44140625" style="737" customWidth="1"/>
    <col min="4256" max="4256" width="5.88671875" style="737" customWidth="1"/>
    <col min="4257" max="4257" width="14.44140625" style="737" customWidth="1"/>
    <col min="4258" max="4258" width="5.5546875" style="737" customWidth="1"/>
    <col min="4259" max="4259" width="16" style="737" bestFit="1" customWidth="1"/>
    <col min="4260" max="4265" width="10.33203125" style="737" customWidth="1"/>
    <col min="4266" max="4266" width="5.5546875" style="737" customWidth="1"/>
    <col min="4267" max="4267" width="9.5546875" style="737" customWidth="1"/>
    <col min="4268" max="4268" width="9.109375" style="737"/>
    <col min="4269" max="4269" width="5.44140625" style="737" customWidth="1"/>
    <col min="4270" max="4272" width="9.109375" style="737"/>
    <col min="4273" max="4273" width="5.44140625" style="737" customWidth="1"/>
    <col min="4274" max="4275" width="9.33203125" style="737" customWidth="1"/>
    <col min="4276" max="4276" width="5.44140625" style="737" customWidth="1"/>
    <col min="4277" max="4277" width="21.6640625" style="737" bestFit="1" customWidth="1"/>
    <col min="4278" max="4281" width="11.44140625" style="737" customWidth="1"/>
    <col min="4282" max="4282" width="5.44140625" style="737" customWidth="1"/>
    <col min="4283" max="4283" width="9.109375" style="737"/>
    <col min="4284" max="4284" width="5.5546875" style="737" customWidth="1"/>
    <col min="4285" max="4285" width="16.88671875" style="737" customWidth="1"/>
    <col min="4286" max="4288" width="14.5546875" style="737" customWidth="1"/>
    <col min="4289" max="4289" width="5.5546875" style="737" customWidth="1"/>
    <col min="4290" max="4291" width="9.109375" style="737"/>
    <col min="4292" max="4292" width="5.6640625" style="737" customWidth="1"/>
    <col min="4293" max="4293" width="9.109375" style="737"/>
    <col min="4294" max="4294" width="9" style="737" customWidth="1"/>
    <col min="4295" max="4295" width="9.44140625" style="737" bestFit="1" customWidth="1"/>
    <col min="4296" max="4296" width="10.44140625" style="737" bestFit="1" customWidth="1"/>
    <col min="4297" max="4300" width="9.44140625" style="737" bestFit="1" customWidth="1"/>
    <col min="4301" max="4301" width="5.6640625" style="737" customWidth="1"/>
    <col min="4302" max="4302" width="9.109375" style="737"/>
    <col min="4303" max="4303" width="5.6640625" style="737" customWidth="1"/>
    <col min="4304" max="4304" width="9.109375" style="737"/>
    <col min="4305" max="4305" width="9" style="737" customWidth="1"/>
    <col min="4306" max="4306" width="9.44140625" style="737" bestFit="1" customWidth="1"/>
    <col min="4307" max="4307" width="9.88671875" style="737" bestFit="1" customWidth="1"/>
    <col min="4308" max="4311" width="9.44140625" style="737" bestFit="1" customWidth="1"/>
    <col min="4312" max="4312" width="5.6640625" style="737" customWidth="1"/>
    <col min="4313" max="4313" width="9.109375" style="737"/>
    <col min="4314" max="4314" width="5.5546875" style="737" customWidth="1"/>
    <col min="4315" max="4315" width="16.44140625" style="737" customWidth="1"/>
    <col min="4316" max="4316" width="10.6640625" style="737" customWidth="1"/>
    <col min="4317" max="4322" width="9.5546875" style="737" customWidth="1"/>
    <col min="4323" max="4323" width="5.5546875" style="737" customWidth="1"/>
    <col min="4324" max="4325" width="9.109375" style="737"/>
    <col min="4326" max="4326" width="5.44140625" style="737" customWidth="1"/>
    <col min="4327" max="4327" width="8.109375" style="737" customWidth="1"/>
    <col min="4328" max="4328" width="9.33203125" style="737" customWidth="1"/>
    <col min="4329" max="4329" width="10.6640625" style="737" customWidth="1"/>
    <col min="4330" max="4330" width="9.33203125" style="737" customWidth="1"/>
    <col min="4331" max="4331" width="5.44140625" style="737" customWidth="1"/>
    <col min="4332" max="4332" width="9.109375" style="737"/>
    <col min="4333" max="4333" width="5.44140625" style="737" customWidth="1"/>
    <col min="4334" max="4336" width="9.44140625" style="737" customWidth="1"/>
    <col min="4337" max="4337" width="5.44140625" style="737" customWidth="1"/>
    <col min="4338" max="4339" width="9.109375" style="737"/>
    <col min="4340" max="4340" width="5.44140625" style="737" customWidth="1"/>
    <col min="4341" max="4341" width="13.5546875" style="737" customWidth="1"/>
    <col min="4342" max="4342" width="13.6640625" style="737" customWidth="1"/>
    <col min="4343" max="4343" width="13.5546875" style="737" customWidth="1"/>
    <col min="4344" max="4344" width="5.44140625" style="737" customWidth="1"/>
    <col min="4345" max="4346" width="9.109375" style="737"/>
    <col min="4347" max="4347" width="5.44140625" style="737" customWidth="1"/>
    <col min="4348" max="4348" width="11.109375" style="737" bestFit="1" customWidth="1"/>
    <col min="4349" max="4356" width="9.44140625" style="737" customWidth="1"/>
    <col min="4357" max="4357" width="5.44140625" style="737" customWidth="1"/>
    <col min="4358" max="4490" width="9.109375" style="737"/>
    <col min="4491" max="4491" width="5.88671875" style="737" customWidth="1"/>
    <col min="4492" max="4492" width="5.6640625" style="737" customWidth="1"/>
    <col min="4493" max="4493" width="35.5546875" style="737" customWidth="1"/>
    <col min="4494" max="4494" width="14.5546875" style="737" customWidth="1"/>
    <col min="4495" max="4495" width="14.44140625" style="737" customWidth="1"/>
    <col min="4496" max="4496" width="5.6640625" style="737" customWidth="1"/>
    <col min="4497" max="4497" width="14.5546875" style="737" customWidth="1"/>
    <col min="4498" max="4499" width="5.88671875" style="737" customWidth="1"/>
    <col min="4500" max="4500" width="26.6640625" style="737" customWidth="1"/>
    <col min="4501" max="4504" width="11.33203125" style="737" customWidth="1"/>
    <col min="4505" max="4505" width="5.5546875" style="737" customWidth="1"/>
    <col min="4506" max="4506" width="14.5546875" style="737" customWidth="1"/>
    <col min="4507" max="4507" width="5.6640625" style="737" customWidth="1"/>
    <col min="4508" max="4508" width="30.88671875" style="737" bestFit="1" customWidth="1"/>
    <col min="4509" max="4509" width="9.109375" style="737"/>
    <col min="4510" max="4510" width="10.88671875" style="737" bestFit="1" customWidth="1"/>
    <col min="4511" max="4511" width="42.44140625" style="737" customWidth="1"/>
    <col min="4512" max="4512" width="5.88671875" style="737" customWidth="1"/>
    <col min="4513" max="4513" width="14.44140625" style="737" customWidth="1"/>
    <col min="4514" max="4514" width="5.5546875" style="737" customWidth="1"/>
    <col min="4515" max="4515" width="16" style="737" bestFit="1" customWidth="1"/>
    <col min="4516" max="4521" width="10.33203125" style="737" customWidth="1"/>
    <col min="4522" max="4522" width="5.5546875" style="737" customWidth="1"/>
    <col min="4523" max="4523" width="9.5546875" style="737" customWidth="1"/>
    <col min="4524" max="4524" width="9.109375" style="737"/>
    <col min="4525" max="4525" width="5.44140625" style="737" customWidth="1"/>
    <col min="4526" max="4528" width="9.109375" style="737"/>
    <col min="4529" max="4529" width="5.44140625" style="737" customWidth="1"/>
    <col min="4530" max="4531" width="9.33203125" style="737" customWidth="1"/>
    <col min="4532" max="4532" width="5.44140625" style="737" customWidth="1"/>
    <col min="4533" max="4533" width="21.6640625" style="737" bestFit="1" customWidth="1"/>
    <col min="4534" max="4537" width="11.44140625" style="737" customWidth="1"/>
    <col min="4538" max="4538" width="5.44140625" style="737" customWidth="1"/>
    <col min="4539" max="4539" width="9.109375" style="737"/>
    <col min="4540" max="4540" width="5.5546875" style="737" customWidth="1"/>
    <col min="4541" max="4541" width="16.88671875" style="737" customWidth="1"/>
    <col min="4542" max="4544" width="14.5546875" style="737" customWidth="1"/>
    <col min="4545" max="4545" width="5.5546875" style="737" customWidth="1"/>
    <col min="4546" max="4547" width="9.109375" style="737"/>
    <col min="4548" max="4548" width="5.6640625" style="737" customWidth="1"/>
    <col min="4549" max="4549" width="9.109375" style="737"/>
    <col min="4550" max="4550" width="9" style="737" customWidth="1"/>
    <col min="4551" max="4551" width="9.44140625" style="737" bestFit="1" customWidth="1"/>
    <col min="4552" max="4552" width="10.44140625" style="737" bestFit="1" customWidth="1"/>
    <col min="4553" max="4556" width="9.44140625" style="737" bestFit="1" customWidth="1"/>
    <col min="4557" max="4557" width="5.6640625" style="737" customWidth="1"/>
    <col min="4558" max="4558" width="9.109375" style="737"/>
    <col min="4559" max="4559" width="5.6640625" style="737" customWidth="1"/>
    <col min="4560" max="4560" width="9.109375" style="737"/>
    <col min="4561" max="4561" width="9" style="737" customWidth="1"/>
    <col min="4562" max="4562" width="9.44140625" style="737" bestFit="1" customWidth="1"/>
    <col min="4563" max="4563" width="9.88671875" style="737" bestFit="1" customWidth="1"/>
    <col min="4564" max="4567" width="9.44140625" style="737" bestFit="1" customWidth="1"/>
    <col min="4568" max="4568" width="5.6640625" style="737" customWidth="1"/>
    <col min="4569" max="4569" width="9.109375" style="737"/>
    <col min="4570" max="4570" width="5.5546875" style="737" customWidth="1"/>
    <col min="4571" max="4571" width="16.44140625" style="737" customWidth="1"/>
    <col min="4572" max="4572" width="10.6640625" style="737" customWidth="1"/>
    <col min="4573" max="4578" width="9.5546875" style="737" customWidth="1"/>
    <col min="4579" max="4579" width="5.5546875" style="737" customWidth="1"/>
    <col min="4580" max="4581" width="9.109375" style="737"/>
    <col min="4582" max="4582" width="5.44140625" style="737" customWidth="1"/>
    <col min="4583" max="4583" width="8.109375" style="737" customWidth="1"/>
    <col min="4584" max="4584" width="9.33203125" style="737" customWidth="1"/>
    <col min="4585" max="4585" width="10.6640625" style="737" customWidth="1"/>
    <col min="4586" max="4586" width="9.33203125" style="737" customWidth="1"/>
    <col min="4587" max="4587" width="5.44140625" style="737" customWidth="1"/>
    <col min="4588" max="4588" width="9.109375" style="737"/>
    <col min="4589" max="4589" width="5.44140625" style="737" customWidth="1"/>
    <col min="4590" max="4592" width="9.44140625" style="737" customWidth="1"/>
    <col min="4593" max="4593" width="5.44140625" style="737" customWidth="1"/>
    <col min="4594" max="4595" width="9.109375" style="737"/>
    <col min="4596" max="4596" width="5.44140625" style="737" customWidth="1"/>
    <col min="4597" max="4597" width="13.5546875" style="737" customWidth="1"/>
    <col min="4598" max="4598" width="13.6640625" style="737" customWidth="1"/>
    <col min="4599" max="4599" width="13.5546875" style="737" customWidth="1"/>
    <col min="4600" max="4600" width="5.44140625" style="737" customWidth="1"/>
    <col min="4601" max="4602" width="9.109375" style="737"/>
    <col min="4603" max="4603" width="5.44140625" style="737" customWidth="1"/>
    <col min="4604" max="4604" width="11.109375" style="737" bestFit="1" customWidth="1"/>
    <col min="4605" max="4612" width="9.44140625" style="737" customWidth="1"/>
    <col min="4613" max="4613" width="5.44140625" style="737" customWidth="1"/>
    <col min="4614" max="4746" width="9.109375" style="737"/>
    <col min="4747" max="4747" width="5.88671875" style="737" customWidth="1"/>
    <col min="4748" max="4748" width="5.6640625" style="737" customWidth="1"/>
    <col min="4749" max="4749" width="35.5546875" style="737" customWidth="1"/>
    <col min="4750" max="4750" width="14.5546875" style="737" customWidth="1"/>
    <col min="4751" max="4751" width="14.44140625" style="737" customWidth="1"/>
    <col min="4752" max="4752" width="5.6640625" style="737" customWidth="1"/>
    <col min="4753" max="4753" width="14.5546875" style="737" customWidth="1"/>
    <col min="4754" max="4755" width="5.88671875" style="737" customWidth="1"/>
    <col min="4756" max="4756" width="26.6640625" style="737" customWidth="1"/>
    <col min="4757" max="4760" width="11.33203125" style="737" customWidth="1"/>
    <col min="4761" max="4761" width="5.5546875" style="737" customWidth="1"/>
    <col min="4762" max="4762" width="14.5546875" style="737" customWidth="1"/>
    <col min="4763" max="4763" width="5.6640625" style="737" customWidth="1"/>
    <col min="4764" max="4764" width="30.88671875" style="737" bestFit="1" customWidth="1"/>
    <col min="4765" max="4765" width="9.109375" style="737"/>
    <col min="4766" max="4766" width="10.88671875" style="737" bestFit="1" customWidth="1"/>
    <col min="4767" max="4767" width="42.44140625" style="737" customWidth="1"/>
    <col min="4768" max="4768" width="5.88671875" style="737" customWidth="1"/>
    <col min="4769" max="4769" width="14.44140625" style="737" customWidth="1"/>
    <col min="4770" max="4770" width="5.5546875" style="737" customWidth="1"/>
    <col min="4771" max="4771" width="16" style="737" bestFit="1" customWidth="1"/>
    <col min="4772" max="4777" width="10.33203125" style="737" customWidth="1"/>
    <col min="4778" max="4778" width="5.5546875" style="737" customWidth="1"/>
    <col min="4779" max="4779" width="9.5546875" style="737" customWidth="1"/>
    <col min="4780" max="4780" width="9.109375" style="737"/>
    <col min="4781" max="4781" width="5.44140625" style="737" customWidth="1"/>
    <col min="4782" max="4784" width="9.109375" style="737"/>
    <col min="4785" max="4785" width="5.44140625" style="737" customWidth="1"/>
    <col min="4786" max="4787" width="9.33203125" style="737" customWidth="1"/>
    <col min="4788" max="4788" width="5.44140625" style="737" customWidth="1"/>
    <col min="4789" max="4789" width="21.6640625" style="737" bestFit="1" customWidth="1"/>
    <col min="4790" max="4793" width="11.44140625" style="737" customWidth="1"/>
    <col min="4794" max="4794" width="5.44140625" style="737" customWidth="1"/>
    <col min="4795" max="4795" width="9.109375" style="737"/>
    <col min="4796" max="4796" width="5.5546875" style="737" customWidth="1"/>
    <col min="4797" max="4797" width="16.88671875" style="737" customWidth="1"/>
    <col min="4798" max="4800" width="14.5546875" style="737" customWidth="1"/>
    <col min="4801" max="4801" width="5.5546875" style="737" customWidth="1"/>
    <col min="4802" max="4803" width="9.109375" style="737"/>
    <col min="4804" max="4804" width="5.6640625" style="737" customWidth="1"/>
    <col min="4805" max="4805" width="9.109375" style="737"/>
    <col min="4806" max="4806" width="9" style="737" customWidth="1"/>
    <col min="4807" max="4807" width="9.44140625" style="737" bestFit="1" customWidth="1"/>
    <col min="4808" max="4808" width="10.44140625" style="737" bestFit="1" customWidth="1"/>
    <col min="4809" max="4812" width="9.44140625" style="737" bestFit="1" customWidth="1"/>
    <col min="4813" max="4813" width="5.6640625" style="737" customWidth="1"/>
    <col min="4814" max="4814" width="9.109375" style="737"/>
    <col min="4815" max="4815" width="5.6640625" style="737" customWidth="1"/>
    <col min="4816" max="4816" width="9.109375" style="737"/>
    <col min="4817" max="4817" width="9" style="737" customWidth="1"/>
    <col min="4818" max="4818" width="9.44140625" style="737" bestFit="1" customWidth="1"/>
    <col min="4819" max="4819" width="9.88671875" style="737" bestFit="1" customWidth="1"/>
    <col min="4820" max="4823" width="9.44140625" style="737" bestFit="1" customWidth="1"/>
    <col min="4824" max="4824" width="5.6640625" style="737" customWidth="1"/>
    <col min="4825" max="4825" width="9.109375" style="737"/>
    <col min="4826" max="4826" width="5.5546875" style="737" customWidth="1"/>
    <col min="4827" max="4827" width="16.44140625" style="737" customWidth="1"/>
    <col min="4828" max="4828" width="10.6640625" style="737" customWidth="1"/>
    <col min="4829" max="4834" width="9.5546875" style="737" customWidth="1"/>
    <col min="4835" max="4835" width="5.5546875" style="737" customWidth="1"/>
    <col min="4836" max="4837" width="9.109375" style="737"/>
    <col min="4838" max="4838" width="5.44140625" style="737" customWidth="1"/>
    <col min="4839" max="4839" width="8.109375" style="737" customWidth="1"/>
    <col min="4840" max="4840" width="9.33203125" style="737" customWidth="1"/>
    <col min="4841" max="4841" width="10.6640625" style="737" customWidth="1"/>
    <col min="4842" max="4842" width="9.33203125" style="737" customWidth="1"/>
    <col min="4843" max="4843" width="5.44140625" style="737" customWidth="1"/>
    <col min="4844" max="4844" width="9.109375" style="737"/>
    <col min="4845" max="4845" width="5.44140625" style="737" customWidth="1"/>
    <col min="4846" max="4848" width="9.44140625" style="737" customWidth="1"/>
    <col min="4849" max="4849" width="5.44140625" style="737" customWidth="1"/>
    <col min="4850" max="4851" width="9.109375" style="737"/>
    <col min="4852" max="4852" width="5.44140625" style="737" customWidth="1"/>
    <col min="4853" max="4853" width="13.5546875" style="737" customWidth="1"/>
    <col min="4854" max="4854" width="13.6640625" style="737" customWidth="1"/>
    <col min="4855" max="4855" width="13.5546875" style="737" customWidth="1"/>
    <col min="4856" max="4856" width="5.44140625" style="737" customWidth="1"/>
    <col min="4857" max="4858" width="9.109375" style="737"/>
    <col min="4859" max="4859" width="5.44140625" style="737" customWidth="1"/>
    <col min="4860" max="4860" width="11.109375" style="737" bestFit="1" customWidth="1"/>
    <col min="4861" max="4868" width="9.44140625" style="737" customWidth="1"/>
    <col min="4869" max="4869" width="5.44140625" style="737" customWidth="1"/>
    <col min="4870" max="5002" width="9.109375" style="737"/>
    <col min="5003" max="5003" width="5.88671875" style="737" customWidth="1"/>
    <col min="5004" max="5004" width="5.6640625" style="737" customWidth="1"/>
    <col min="5005" max="5005" width="35.5546875" style="737" customWidth="1"/>
    <col min="5006" max="5006" width="14.5546875" style="737" customWidth="1"/>
    <col min="5007" max="5007" width="14.44140625" style="737" customWidth="1"/>
    <col min="5008" max="5008" width="5.6640625" style="737" customWidth="1"/>
    <col min="5009" max="5009" width="14.5546875" style="737" customWidth="1"/>
    <col min="5010" max="5011" width="5.88671875" style="737" customWidth="1"/>
    <col min="5012" max="5012" width="26.6640625" style="737" customWidth="1"/>
    <col min="5013" max="5016" width="11.33203125" style="737" customWidth="1"/>
    <col min="5017" max="5017" width="5.5546875" style="737" customWidth="1"/>
    <col min="5018" max="5018" width="14.5546875" style="737" customWidth="1"/>
    <col min="5019" max="5019" width="5.6640625" style="737" customWidth="1"/>
    <col min="5020" max="5020" width="30.88671875" style="737" bestFit="1" customWidth="1"/>
    <col min="5021" max="5021" width="9.109375" style="737"/>
    <col min="5022" max="5022" width="10.88671875" style="737" bestFit="1" customWidth="1"/>
    <col min="5023" max="5023" width="42.44140625" style="737" customWidth="1"/>
    <col min="5024" max="5024" width="5.88671875" style="737" customWidth="1"/>
    <col min="5025" max="5025" width="14.44140625" style="737" customWidth="1"/>
    <col min="5026" max="5026" width="5.5546875" style="737" customWidth="1"/>
    <col min="5027" max="5027" width="16" style="737" bestFit="1" customWidth="1"/>
    <col min="5028" max="5033" width="10.33203125" style="737" customWidth="1"/>
    <col min="5034" max="5034" width="5.5546875" style="737" customWidth="1"/>
    <col min="5035" max="5035" width="9.5546875" style="737" customWidth="1"/>
    <col min="5036" max="5036" width="9.109375" style="737"/>
    <col min="5037" max="5037" width="5.44140625" style="737" customWidth="1"/>
    <col min="5038" max="5040" width="9.109375" style="737"/>
    <col min="5041" max="5041" width="5.44140625" style="737" customWidth="1"/>
    <col min="5042" max="5043" width="9.33203125" style="737" customWidth="1"/>
    <col min="5044" max="5044" width="5.44140625" style="737" customWidth="1"/>
    <col min="5045" max="5045" width="21.6640625" style="737" bestFit="1" customWidth="1"/>
    <col min="5046" max="5049" width="11.44140625" style="737" customWidth="1"/>
    <col min="5050" max="5050" width="5.44140625" style="737" customWidth="1"/>
    <col min="5051" max="5051" width="9.109375" style="737"/>
    <col min="5052" max="5052" width="5.5546875" style="737" customWidth="1"/>
    <col min="5053" max="5053" width="16.88671875" style="737" customWidth="1"/>
    <col min="5054" max="5056" width="14.5546875" style="737" customWidth="1"/>
    <col min="5057" max="5057" width="5.5546875" style="737" customWidth="1"/>
    <col min="5058" max="5059" width="9.109375" style="737"/>
    <col min="5060" max="5060" width="5.6640625" style="737" customWidth="1"/>
    <col min="5061" max="5061" width="9.109375" style="737"/>
    <col min="5062" max="5062" width="9" style="737" customWidth="1"/>
    <col min="5063" max="5063" width="9.44140625" style="737" bestFit="1" customWidth="1"/>
    <col min="5064" max="5064" width="10.44140625" style="737" bestFit="1" customWidth="1"/>
    <col min="5065" max="5068" width="9.44140625" style="737" bestFit="1" customWidth="1"/>
    <col min="5069" max="5069" width="5.6640625" style="737" customWidth="1"/>
    <col min="5070" max="5070" width="9.109375" style="737"/>
    <col min="5071" max="5071" width="5.6640625" style="737" customWidth="1"/>
    <col min="5072" max="5072" width="9.109375" style="737"/>
    <col min="5073" max="5073" width="9" style="737" customWidth="1"/>
    <col min="5074" max="5074" width="9.44140625" style="737" bestFit="1" customWidth="1"/>
    <col min="5075" max="5075" width="9.88671875" style="737" bestFit="1" customWidth="1"/>
    <col min="5076" max="5079" width="9.44140625" style="737" bestFit="1" customWidth="1"/>
    <col min="5080" max="5080" width="5.6640625" style="737" customWidth="1"/>
    <col min="5081" max="5081" width="9.109375" style="737"/>
    <col min="5082" max="5082" width="5.5546875" style="737" customWidth="1"/>
    <col min="5083" max="5083" width="16.44140625" style="737" customWidth="1"/>
    <col min="5084" max="5084" width="10.6640625" style="737" customWidth="1"/>
    <col min="5085" max="5090" width="9.5546875" style="737" customWidth="1"/>
    <col min="5091" max="5091" width="5.5546875" style="737" customWidth="1"/>
    <col min="5092" max="5093" width="9.109375" style="737"/>
    <col min="5094" max="5094" width="5.44140625" style="737" customWidth="1"/>
    <col min="5095" max="5095" width="8.109375" style="737" customWidth="1"/>
    <col min="5096" max="5096" width="9.33203125" style="737" customWidth="1"/>
    <col min="5097" max="5097" width="10.6640625" style="737" customWidth="1"/>
    <col min="5098" max="5098" width="9.33203125" style="737" customWidth="1"/>
    <col min="5099" max="5099" width="5.44140625" style="737" customWidth="1"/>
    <col min="5100" max="5100" width="9.109375" style="737"/>
    <col min="5101" max="5101" width="5.44140625" style="737" customWidth="1"/>
    <col min="5102" max="5104" width="9.44140625" style="737" customWidth="1"/>
    <col min="5105" max="5105" width="5.44140625" style="737" customWidth="1"/>
    <col min="5106" max="5107" width="9.109375" style="737"/>
    <col min="5108" max="5108" width="5.44140625" style="737" customWidth="1"/>
    <col min="5109" max="5109" width="13.5546875" style="737" customWidth="1"/>
    <col min="5110" max="5110" width="13.6640625" style="737" customWidth="1"/>
    <col min="5111" max="5111" width="13.5546875" style="737" customWidth="1"/>
    <col min="5112" max="5112" width="5.44140625" style="737" customWidth="1"/>
    <col min="5113" max="5114" width="9.109375" style="737"/>
    <col min="5115" max="5115" width="5.44140625" style="737" customWidth="1"/>
    <col min="5116" max="5116" width="11.109375" style="737" bestFit="1" customWidth="1"/>
    <col min="5117" max="5124" width="9.44140625" style="737" customWidth="1"/>
    <col min="5125" max="5125" width="5.44140625" style="737" customWidth="1"/>
    <col min="5126" max="5258" width="9.109375" style="737"/>
    <col min="5259" max="5259" width="5.88671875" style="737" customWidth="1"/>
    <col min="5260" max="5260" width="5.6640625" style="737" customWidth="1"/>
    <col min="5261" max="5261" width="35.5546875" style="737" customWidth="1"/>
    <col min="5262" max="5262" width="14.5546875" style="737" customWidth="1"/>
    <col min="5263" max="5263" width="14.44140625" style="737" customWidth="1"/>
    <col min="5264" max="5264" width="5.6640625" style="737" customWidth="1"/>
    <col min="5265" max="5265" width="14.5546875" style="737" customWidth="1"/>
    <col min="5266" max="5267" width="5.88671875" style="737" customWidth="1"/>
    <col min="5268" max="5268" width="26.6640625" style="737" customWidth="1"/>
    <col min="5269" max="5272" width="11.33203125" style="737" customWidth="1"/>
    <col min="5273" max="5273" width="5.5546875" style="737" customWidth="1"/>
    <col min="5274" max="5274" width="14.5546875" style="737" customWidth="1"/>
    <col min="5275" max="5275" width="5.6640625" style="737" customWidth="1"/>
    <col min="5276" max="5276" width="30.88671875" style="737" bestFit="1" customWidth="1"/>
    <col min="5277" max="5277" width="9.109375" style="737"/>
    <col min="5278" max="5278" width="10.88671875" style="737" bestFit="1" customWidth="1"/>
    <col min="5279" max="5279" width="42.44140625" style="737" customWidth="1"/>
    <col min="5280" max="5280" width="5.88671875" style="737" customWidth="1"/>
    <col min="5281" max="5281" width="14.44140625" style="737" customWidth="1"/>
    <col min="5282" max="5282" width="5.5546875" style="737" customWidth="1"/>
    <col min="5283" max="5283" width="16" style="737" bestFit="1" customWidth="1"/>
    <col min="5284" max="5289" width="10.33203125" style="737" customWidth="1"/>
    <col min="5290" max="5290" width="5.5546875" style="737" customWidth="1"/>
    <col min="5291" max="5291" width="9.5546875" style="737" customWidth="1"/>
    <col min="5292" max="5292" width="9.109375" style="737"/>
    <col min="5293" max="5293" width="5.44140625" style="737" customWidth="1"/>
    <col min="5294" max="5296" width="9.109375" style="737"/>
    <col min="5297" max="5297" width="5.44140625" style="737" customWidth="1"/>
    <col min="5298" max="5299" width="9.33203125" style="737" customWidth="1"/>
    <col min="5300" max="5300" width="5.44140625" style="737" customWidth="1"/>
    <col min="5301" max="5301" width="21.6640625" style="737" bestFit="1" customWidth="1"/>
    <col min="5302" max="5305" width="11.44140625" style="737" customWidth="1"/>
    <col min="5306" max="5306" width="5.44140625" style="737" customWidth="1"/>
    <col min="5307" max="5307" width="9.109375" style="737"/>
    <col min="5308" max="5308" width="5.5546875" style="737" customWidth="1"/>
    <col min="5309" max="5309" width="16.88671875" style="737" customWidth="1"/>
    <col min="5310" max="5312" width="14.5546875" style="737" customWidth="1"/>
    <col min="5313" max="5313" width="5.5546875" style="737" customWidth="1"/>
    <col min="5314" max="5315" width="9.109375" style="737"/>
    <col min="5316" max="5316" width="5.6640625" style="737" customWidth="1"/>
    <col min="5317" max="5317" width="9.109375" style="737"/>
    <col min="5318" max="5318" width="9" style="737" customWidth="1"/>
    <col min="5319" max="5319" width="9.44140625" style="737" bestFit="1" customWidth="1"/>
    <col min="5320" max="5320" width="10.44140625" style="737" bestFit="1" customWidth="1"/>
    <col min="5321" max="5324" width="9.44140625" style="737" bestFit="1" customWidth="1"/>
    <col min="5325" max="5325" width="5.6640625" style="737" customWidth="1"/>
    <col min="5326" max="5326" width="9.109375" style="737"/>
    <col min="5327" max="5327" width="5.6640625" style="737" customWidth="1"/>
    <col min="5328" max="5328" width="9.109375" style="737"/>
    <col min="5329" max="5329" width="9" style="737" customWidth="1"/>
    <col min="5330" max="5330" width="9.44140625" style="737" bestFit="1" customWidth="1"/>
    <col min="5331" max="5331" width="9.88671875" style="737" bestFit="1" customWidth="1"/>
    <col min="5332" max="5335" width="9.44140625" style="737" bestFit="1" customWidth="1"/>
    <col min="5336" max="5336" width="5.6640625" style="737" customWidth="1"/>
    <col min="5337" max="5337" width="9.109375" style="737"/>
    <col min="5338" max="5338" width="5.5546875" style="737" customWidth="1"/>
    <col min="5339" max="5339" width="16.44140625" style="737" customWidth="1"/>
    <col min="5340" max="5340" width="10.6640625" style="737" customWidth="1"/>
    <col min="5341" max="5346" width="9.5546875" style="737" customWidth="1"/>
    <col min="5347" max="5347" width="5.5546875" style="737" customWidth="1"/>
    <col min="5348" max="5349" width="9.109375" style="737"/>
    <col min="5350" max="5350" width="5.44140625" style="737" customWidth="1"/>
    <col min="5351" max="5351" width="8.109375" style="737" customWidth="1"/>
    <col min="5352" max="5352" width="9.33203125" style="737" customWidth="1"/>
    <col min="5353" max="5353" width="10.6640625" style="737" customWidth="1"/>
    <col min="5354" max="5354" width="9.33203125" style="737" customWidth="1"/>
    <col min="5355" max="5355" width="5.44140625" style="737" customWidth="1"/>
    <col min="5356" max="5356" width="9.109375" style="737"/>
    <col min="5357" max="5357" width="5.44140625" style="737" customWidth="1"/>
    <col min="5358" max="5360" width="9.44140625" style="737" customWidth="1"/>
    <col min="5361" max="5361" width="5.44140625" style="737" customWidth="1"/>
    <col min="5362" max="5363" width="9.109375" style="737"/>
    <col min="5364" max="5364" width="5.44140625" style="737" customWidth="1"/>
    <col min="5365" max="5365" width="13.5546875" style="737" customWidth="1"/>
    <col min="5366" max="5366" width="13.6640625" style="737" customWidth="1"/>
    <col min="5367" max="5367" width="13.5546875" style="737" customWidth="1"/>
    <col min="5368" max="5368" width="5.44140625" style="737" customWidth="1"/>
    <col min="5369" max="5370" width="9.109375" style="737"/>
    <col min="5371" max="5371" width="5.44140625" style="737" customWidth="1"/>
    <col min="5372" max="5372" width="11.109375" style="737" bestFit="1" customWidth="1"/>
    <col min="5373" max="5380" width="9.44140625" style="737" customWidth="1"/>
    <col min="5381" max="5381" width="5.44140625" style="737" customWidth="1"/>
    <col min="5382" max="5514" width="9.109375" style="737"/>
    <col min="5515" max="5515" width="5.88671875" style="737" customWidth="1"/>
    <col min="5516" max="5516" width="5.6640625" style="737" customWidth="1"/>
    <col min="5517" max="5517" width="35.5546875" style="737" customWidth="1"/>
    <col min="5518" max="5518" width="14.5546875" style="737" customWidth="1"/>
    <col min="5519" max="5519" width="14.44140625" style="737" customWidth="1"/>
    <col min="5520" max="5520" width="5.6640625" style="737" customWidth="1"/>
    <col min="5521" max="5521" width="14.5546875" style="737" customWidth="1"/>
    <col min="5522" max="5523" width="5.88671875" style="737" customWidth="1"/>
    <col min="5524" max="5524" width="26.6640625" style="737" customWidth="1"/>
    <col min="5525" max="5528" width="11.33203125" style="737" customWidth="1"/>
    <col min="5529" max="5529" width="5.5546875" style="737" customWidth="1"/>
    <col min="5530" max="5530" width="14.5546875" style="737" customWidth="1"/>
    <col min="5531" max="5531" width="5.6640625" style="737" customWidth="1"/>
    <col min="5532" max="5532" width="30.88671875" style="737" bestFit="1" customWidth="1"/>
    <col min="5533" max="5533" width="9.109375" style="737"/>
    <col min="5534" max="5534" width="10.88671875" style="737" bestFit="1" customWidth="1"/>
    <col min="5535" max="5535" width="42.44140625" style="737" customWidth="1"/>
    <col min="5536" max="5536" width="5.88671875" style="737" customWidth="1"/>
    <col min="5537" max="5537" width="14.44140625" style="737" customWidth="1"/>
    <col min="5538" max="5538" width="5.5546875" style="737" customWidth="1"/>
    <col min="5539" max="5539" width="16" style="737" bestFit="1" customWidth="1"/>
    <col min="5540" max="5545" width="10.33203125" style="737" customWidth="1"/>
    <col min="5546" max="5546" width="5.5546875" style="737" customWidth="1"/>
    <col min="5547" max="5547" width="9.5546875" style="737" customWidth="1"/>
    <col min="5548" max="5548" width="9.109375" style="737"/>
    <col min="5549" max="5549" width="5.44140625" style="737" customWidth="1"/>
    <col min="5550" max="5552" width="9.109375" style="737"/>
    <col min="5553" max="5553" width="5.44140625" style="737" customWidth="1"/>
    <col min="5554" max="5555" width="9.33203125" style="737" customWidth="1"/>
    <col min="5556" max="5556" width="5.44140625" style="737" customWidth="1"/>
    <col min="5557" max="5557" width="21.6640625" style="737" bestFit="1" customWidth="1"/>
    <col min="5558" max="5561" width="11.44140625" style="737" customWidth="1"/>
    <col min="5562" max="5562" width="5.44140625" style="737" customWidth="1"/>
    <col min="5563" max="5563" width="9.109375" style="737"/>
    <col min="5564" max="5564" width="5.5546875" style="737" customWidth="1"/>
    <col min="5565" max="5565" width="16.88671875" style="737" customWidth="1"/>
    <col min="5566" max="5568" width="14.5546875" style="737" customWidth="1"/>
    <col min="5569" max="5569" width="5.5546875" style="737" customWidth="1"/>
    <col min="5570" max="5571" width="9.109375" style="737"/>
    <col min="5572" max="5572" width="5.6640625" style="737" customWidth="1"/>
    <col min="5573" max="5573" width="9.109375" style="737"/>
    <col min="5574" max="5574" width="9" style="737" customWidth="1"/>
    <col min="5575" max="5575" width="9.44140625" style="737" bestFit="1" customWidth="1"/>
    <col min="5576" max="5576" width="10.44140625" style="737" bestFit="1" customWidth="1"/>
    <col min="5577" max="5580" width="9.44140625" style="737" bestFit="1" customWidth="1"/>
    <col min="5581" max="5581" width="5.6640625" style="737" customWidth="1"/>
    <col min="5582" max="5582" width="9.109375" style="737"/>
    <col min="5583" max="5583" width="5.6640625" style="737" customWidth="1"/>
    <col min="5584" max="5584" width="9.109375" style="737"/>
    <col min="5585" max="5585" width="9" style="737" customWidth="1"/>
    <col min="5586" max="5586" width="9.44140625" style="737" bestFit="1" customWidth="1"/>
    <col min="5587" max="5587" width="9.88671875" style="737" bestFit="1" customWidth="1"/>
    <col min="5588" max="5591" width="9.44140625" style="737" bestFit="1" customWidth="1"/>
    <col min="5592" max="5592" width="5.6640625" style="737" customWidth="1"/>
    <col min="5593" max="5593" width="9.109375" style="737"/>
    <col min="5594" max="5594" width="5.5546875" style="737" customWidth="1"/>
    <col min="5595" max="5595" width="16.44140625" style="737" customWidth="1"/>
    <col min="5596" max="5596" width="10.6640625" style="737" customWidth="1"/>
    <col min="5597" max="5602" width="9.5546875" style="737" customWidth="1"/>
    <col min="5603" max="5603" width="5.5546875" style="737" customWidth="1"/>
    <col min="5604" max="5605" width="9.109375" style="737"/>
    <col min="5606" max="5606" width="5.44140625" style="737" customWidth="1"/>
    <col min="5607" max="5607" width="8.109375" style="737" customWidth="1"/>
    <col min="5608" max="5608" width="9.33203125" style="737" customWidth="1"/>
    <col min="5609" max="5609" width="10.6640625" style="737" customWidth="1"/>
    <col min="5610" max="5610" width="9.33203125" style="737" customWidth="1"/>
    <col min="5611" max="5611" width="5.44140625" style="737" customWidth="1"/>
    <col min="5612" max="5612" width="9.109375" style="737"/>
    <col min="5613" max="5613" width="5.44140625" style="737" customWidth="1"/>
    <col min="5614" max="5616" width="9.44140625" style="737" customWidth="1"/>
    <col min="5617" max="5617" width="5.44140625" style="737" customWidth="1"/>
    <col min="5618" max="5619" width="9.109375" style="737"/>
    <col min="5620" max="5620" width="5.44140625" style="737" customWidth="1"/>
    <col min="5621" max="5621" width="13.5546875" style="737" customWidth="1"/>
    <col min="5622" max="5622" width="13.6640625" style="737" customWidth="1"/>
    <col min="5623" max="5623" width="13.5546875" style="737" customWidth="1"/>
    <col min="5624" max="5624" width="5.44140625" style="737" customWidth="1"/>
    <col min="5625" max="5626" width="9.109375" style="737"/>
    <col min="5627" max="5627" width="5.44140625" style="737" customWidth="1"/>
    <col min="5628" max="5628" width="11.109375" style="737" bestFit="1" customWidth="1"/>
    <col min="5629" max="5636" width="9.44140625" style="737" customWidth="1"/>
    <col min="5637" max="5637" width="5.44140625" style="737" customWidth="1"/>
    <col min="5638" max="5770" width="9.109375" style="737"/>
    <col min="5771" max="5771" width="5.88671875" style="737" customWidth="1"/>
    <col min="5772" max="5772" width="5.6640625" style="737" customWidth="1"/>
    <col min="5773" max="5773" width="35.5546875" style="737" customWidth="1"/>
    <col min="5774" max="5774" width="14.5546875" style="737" customWidth="1"/>
    <col min="5775" max="5775" width="14.44140625" style="737" customWidth="1"/>
    <col min="5776" max="5776" width="5.6640625" style="737" customWidth="1"/>
    <col min="5777" max="5777" width="14.5546875" style="737" customWidth="1"/>
    <col min="5778" max="5779" width="5.88671875" style="737" customWidth="1"/>
    <col min="5780" max="5780" width="26.6640625" style="737" customWidth="1"/>
    <col min="5781" max="5784" width="11.33203125" style="737" customWidth="1"/>
    <col min="5785" max="5785" width="5.5546875" style="737" customWidth="1"/>
    <col min="5786" max="5786" width="14.5546875" style="737" customWidth="1"/>
    <col min="5787" max="5787" width="5.6640625" style="737" customWidth="1"/>
    <col min="5788" max="5788" width="30.88671875" style="737" bestFit="1" customWidth="1"/>
    <col min="5789" max="5789" width="9.109375" style="737"/>
    <col min="5790" max="5790" width="10.88671875" style="737" bestFit="1" customWidth="1"/>
    <col min="5791" max="5791" width="42.44140625" style="737" customWidth="1"/>
    <col min="5792" max="5792" width="5.88671875" style="737" customWidth="1"/>
    <col min="5793" max="5793" width="14.44140625" style="737" customWidth="1"/>
    <col min="5794" max="5794" width="5.5546875" style="737" customWidth="1"/>
    <col min="5795" max="5795" width="16" style="737" bestFit="1" customWidth="1"/>
    <col min="5796" max="5801" width="10.33203125" style="737" customWidth="1"/>
    <col min="5802" max="5802" width="5.5546875" style="737" customWidth="1"/>
    <col min="5803" max="5803" width="9.5546875" style="737" customWidth="1"/>
    <col min="5804" max="5804" width="9.109375" style="737"/>
    <col min="5805" max="5805" width="5.44140625" style="737" customWidth="1"/>
    <col min="5806" max="5808" width="9.109375" style="737"/>
    <col min="5809" max="5809" width="5.44140625" style="737" customWidth="1"/>
    <col min="5810" max="5811" width="9.33203125" style="737" customWidth="1"/>
    <col min="5812" max="5812" width="5.44140625" style="737" customWidth="1"/>
    <col min="5813" max="5813" width="21.6640625" style="737" bestFit="1" customWidth="1"/>
    <col min="5814" max="5817" width="11.44140625" style="737" customWidth="1"/>
    <col min="5818" max="5818" width="5.44140625" style="737" customWidth="1"/>
    <col min="5819" max="5819" width="9.109375" style="737"/>
    <col min="5820" max="5820" width="5.5546875" style="737" customWidth="1"/>
    <col min="5821" max="5821" width="16.88671875" style="737" customWidth="1"/>
    <col min="5822" max="5824" width="14.5546875" style="737" customWidth="1"/>
    <col min="5825" max="5825" width="5.5546875" style="737" customWidth="1"/>
    <col min="5826" max="5827" width="9.109375" style="737"/>
    <col min="5828" max="5828" width="5.6640625" style="737" customWidth="1"/>
    <col min="5829" max="5829" width="9.109375" style="737"/>
    <col min="5830" max="5830" width="9" style="737" customWidth="1"/>
    <col min="5831" max="5831" width="9.44140625" style="737" bestFit="1" customWidth="1"/>
    <col min="5832" max="5832" width="10.44140625" style="737" bestFit="1" customWidth="1"/>
    <col min="5833" max="5836" width="9.44140625" style="737" bestFit="1" customWidth="1"/>
    <col min="5837" max="5837" width="5.6640625" style="737" customWidth="1"/>
    <col min="5838" max="5838" width="9.109375" style="737"/>
    <col min="5839" max="5839" width="5.6640625" style="737" customWidth="1"/>
    <col min="5840" max="5840" width="9.109375" style="737"/>
    <col min="5841" max="5841" width="9" style="737" customWidth="1"/>
    <col min="5842" max="5842" width="9.44140625" style="737" bestFit="1" customWidth="1"/>
    <col min="5843" max="5843" width="9.88671875" style="737" bestFit="1" customWidth="1"/>
    <col min="5844" max="5847" width="9.44140625" style="737" bestFit="1" customWidth="1"/>
    <col min="5848" max="5848" width="5.6640625" style="737" customWidth="1"/>
    <col min="5849" max="5849" width="9.109375" style="737"/>
    <col min="5850" max="5850" width="5.5546875" style="737" customWidth="1"/>
    <col min="5851" max="5851" width="16.44140625" style="737" customWidth="1"/>
    <col min="5852" max="5852" width="10.6640625" style="737" customWidth="1"/>
    <col min="5853" max="5858" width="9.5546875" style="737" customWidth="1"/>
    <col min="5859" max="5859" width="5.5546875" style="737" customWidth="1"/>
    <col min="5860" max="5861" width="9.109375" style="737"/>
    <col min="5862" max="5862" width="5.44140625" style="737" customWidth="1"/>
    <col min="5863" max="5863" width="8.109375" style="737" customWidth="1"/>
    <col min="5864" max="5864" width="9.33203125" style="737" customWidth="1"/>
    <col min="5865" max="5865" width="10.6640625" style="737" customWidth="1"/>
    <col min="5866" max="5866" width="9.33203125" style="737" customWidth="1"/>
    <col min="5867" max="5867" width="5.44140625" style="737" customWidth="1"/>
    <col min="5868" max="5868" width="9.109375" style="737"/>
    <col min="5869" max="5869" width="5.44140625" style="737" customWidth="1"/>
    <col min="5870" max="5872" width="9.44140625" style="737" customWidth="1"/>
    <col min="5873" max="5873" width="5.44140625" style="737" customWidth="1"/>
    <col min="5874" max="5875" width="9.109375" style="737"/>
    <col min="5876" max="5876" width="5.44140625" style="737" customWidth="1"/>
    <col min="5877" max="5877" width="13.5546875" style="737" customWidth="1"/>
    <col min="5878" max="5878" width="13.6640625" style="737" customWidth="1"/>
    <col min="5879" max="5879" width="13.5546875" style="737" customWidth="1"/>
    <col min="5880" max="5880" width="5.44140625" style="737" customWidth="1"/>
    <col min="5881" max="5882" width="9.109375" style="737"/>
    <col min="5883" max="5883" width="5.44140625" style="737" customWidth="1"/>
    <col min="5884" max="5884" width="11.109375" style="737" bestFit="1" customWidth="1"/>
    <col min="5885" max="5892" width="9.44140625" style="737" customWidth="1"/>
    <col min="5893" max="5893" width="5.44140625" style="737" customWidth="1"/>
    <col min="5894" max="6026" width="9.109375" style="737"/>
    <col min="6027" max="6027" width="5.88671875" style="737" customWidth="1"/>
    <col min="6028" max="6028" width="5.6640625" style="737" customWidth="1"/>
    <col min="6029" max="6029" width="35.5546875" style="737" customWidth="1"/>
    <col min="6030" max="6030" width="14.5546875" style="737" customWidth="1"/>
    <col min="6031" max="6031" width="14.44140625" style="737" customWidth="1"/>
    <col min="6032" max="6032" width="5.6640625" style="737" customWidth="1"/>
    <col min="6033" max="6033" width="14.5546875" style="737" customWidth="1"/>
    <col min="6034" max="6035" width="5.88671875" style="737" customWidth="1"/>
    <col min="6036" max="6036" width="26.6640625" style="737" customWidth="1"/>
    <col min="6037" max="6040" width="11.33203125" style="737" customWidth="1"/>
    <col min="6041" max="6041" width="5.5546875" style="737" customWidth="1"/>
    <col min="6042" max="6042" width="14.5546875" style="737" customWidth="1"/>
    <col min="6043" max="6043" width="5.6640625" style="737" customWidth="1"/>
    <col min="6044" max="6044" width="30.88671875" style="737" bestFit="1" customWidth="1"/>
    <col min="6045" max="6045" width="9.109375" style="737"/>
    <col min="6046" max="6046" width="10.88671875" style="737" bestFit="1" customWidth="1"/>
    <col min="6047" max="6047" width="42.44140625" style="737" customWidth="1"/>
    <col min="6048" max="6048" width="5.88671875" style="737" customWidth="1"/>
    <col min="6049" max="6049" width="14.44140625" style="737" customWidth="1"/>
    <col min="6050" max="6050" width="5.5546875" style="737" customWidth="1"/>
    <col min="6051" max="6051" width="16" style="737" bestFit="1" customWidth="1"/>
    <col min="6052" max="6057" width="10.33203125" style="737" customWidth="1"/>
    <col min="6058" max="6058" width="5.5546875" style="737" customWidth="1"/>
    <col min="6059" max="6059" width="9.5546875" style="737" customWidth="1"/>
    <col min="6060" max="6060" width="9.109375" style="737"/>
    <col min="6061" max="6061" width="5.44140625" style="737" customWidth="1"/>
    <col min="6062" max="6064" width="9.109375" style="737"/>
    <col min="6065" max="6065" width="5.44140625" style="737" customWidth="1"/>
    <col min="6066" max="6067" width="9.33203125" style="737" customWidth="1"/>
    <col min="6068" max="6068" width="5.44140625" style="737" customWidth="1"/>
    <col min="6069" max="6069" width="21.6640625" style="737" bestFit="1" customWidth="1"/>
    <col min="6070" max="6073" width="11.44140625" style="737" customWidth="1"/>
    <col min="6074" max="6074" width="5.44140625" style="737" customWidth="1"/>
    <col min="6075" max="6075" width="9.109375" style="737"/>
    <col min="6076" max="6076" width="5.5546875" style="737" customWidth="1"/>
    <col min="6077" max="6077" width="16.88671875" style="737" customWidth="1"/>
    <col min="6078" max="6080" width="14.5546875" style="737" customWidth="1"/>
    <col min="6081" max="6081" width="5.5546875" style="737" customWidth="1"/>
    <col min="6082" max="6083" width="9.109375" style="737"/>
    <col min="6084" max="6084" width="5.6640625" style="737" customWidth="1"/>
    <col min="6085" max="6085" width="9.109375" style="737"/>
    <col min="6086" max="6086" width="9" style="737" customWidth="1"/>
    <col min="6087" max="6087" width="9.44140625" style="737" bestFit="1" customWidth="1"/>
    <col min="6088" max="6088" width="10.44140625" style="737" bestFit="1" customWidth="1"/>
    <col min="6089" max="6092" width="9.44140625" style="737" bestFit="1" customWidth="1"/>
    <col min="6093" max="6093" width="5.6640625" style="737" customWidth="1"/>
    <col min="6094" max="6094" width="9.109375" style="737"/>
    <col min="6095" max="6095" width="5.6640625" style="737" customWidth="1"/>
    <col min="6096" max="6096" width="9.109375" style="737"/>
    <col min="6097" max="6097" width="9" style="737" customWidth="1"/>
    <col min="6098" max="6098" width="9.44140625" style="737" bestFit="1" customWidth="1"/>
    <col min="6099" max="6099" width="9.88671875" style="737" bestFit="1" customWidth="1"/>
    <col min="6100" max="6103" width="9.44140625" style="737" bestFit="1" customWidth="1"/>
    <col min="6104" max="6104" width="5.6640625" style="737" customWidth="1"/>
    <col min="6105" max="6105" width="9.109375" style="737"/>
    <col min="6106" max="6106" width="5.5546875" style="737" customWidth="1"/>
    <col min="6107" max="6107" width="16.44140625" style="737" customWidth="1"/>
    <col min="6108" max="6108" width="10.6640625" style="737" customWidth="1"/>
    <col min="6109" max="6114" width="9.5546875" style="737" customWidth="1"/>
    <col min="6115" max="6115" width="5.5546875" style="737" customWidth="1"/>
    <col min="6116" max="6117" width="9.109375" style="737"/>
    <col min="6118" max="6118" width="5.44140625" style="737" customWidth="1"/>
    <col min="6119" max="6119" width="8.109375" style="737" customWidth="1"/>
    <col min="6120" max="6120" width="9.33203125" style="737" customWidth="1"/>
    <col min="6121" max="6121" width="10.6640625" style="737" customWidth="1"/>
    <col min="6122" max="6122" width="9.33203125" style="737" customWidth="1"/>
    <col min="6123" max="6123" width="5.44140625" style="737" customWidth="1"/>
    <col min="6124" max="6124" width="9.109375" style="737"/>
    <col min="6125" max="6125" width="5.44140625" style="737" customWidth="1"/>
    <col min="6126" max="6128" width="9.44140625" style="737" customWidth="1"/>
    <col min="6129" max="6129" width="5.44140625" style="737" customWidth="1"/>
    <col min="6130" max="6131" width="9.109375" style="737"/>
    <col min="6132" max="6132" width="5.44140625" style="737" customWidth="1"/>
    <col min="6133" max="6133" width="13.5546875" style="737" customWidth="1"/>
    <col min="6134" max="6134" width="13.6640625" style="737" customWidth="1"/>
    <col min="6135" max="6135" width="13.5546875" style="737" customWidth="1"/>
    <col min="6136" max="6136" width="5.44140625" style="737" customWidth="1"/>
    <col min="6137" max="6138" width="9.109375" style="737"/>
    <col min="6139" max="6139" width="5.44140625" style="737" customWidth="1"/>
    <col min="6140" max="6140" width="11.109375" style="737" bestFit="1" customWidth="1"/>
    <col min="6141" max="6148" width="9.44140625" style="737" customWidth="1"/>
    <col min="6149" max="6149" width="5.44140625" style="737" customWidth="1"/>
    <col min="6150" max="6282" width="9.109375" style="737"/>
    <col min="6283" max="6283" width="5.88671875" style="737" customWidth="1"/>
    <col min="6284" max="6284" width="5.6640625" style="737" customWidth="1"/>
    <col min="6285" max="6285" width="35.5546875" style="737" customWidth="1"/>
    <col min="6286" max="6286" width="14.5546875" style="737" customWidth="1"/>
    <col min="6287" max="6287" width="14.44140625" style="737" customWidth="1"/>
    <col min="6288" max="6288" width="5.6640625" style="737" customWidth="1"/>
    <col min="6289" max="6289" width="14.5546875" style="737" customWidth="1"/>
    <col min="6290" max="6291" width="5.88671875" style="737" customWidth="1"/>
    <col min="6292" max="6292" width="26.6640625" style="737" customWidth="1"/>
    <col min="6293" max="6296" width="11.33203125" style="737" customWidth="1"/>
    <col min="6297" max="6297" width="5.5546875" style="737" customWidth="1"/>
    <col min="6298" max="6298" width="14.5546875" style="737" customWidth="1"/>
    <col min="6299" max="6299" width="5.6640625" style="737" customWidth="1"/>
    <col min="6300" max="6300" width="30.88671875" style="737" bestFit="1" customWidth="1"/>
    <col min="6301" max="6301" width="9.109375" style="737"/>
    <col min="6302" max="6302" width="10.88671875" style="737" bestFit="1" customWidth="1"/>
    <col min="6303" max="6303" width="42.44140625" style="737" customWidth="1"/>
    <col min="6304" max="6304" width="5.88671875" style="737" customWidth="1"/>
    <col min="6305" max="6305" width="14.44140625" style="737" customWidth="1"/>
    <col min="6306" max="6306" width="5.5546875" style="737" customWidth="1"/>
    <col min="6307" max="6307" width="16" style="737" bestFit="1" customWidth="1"/>
    <col min="6308" max="6313" width="10.33203125" style="737" customWidth="1"/>
    <col min="6314" max="6314" width="5.5546875" style="737" customWidth="1"/>
    <col min="6315" max="6315" width="9.5546875" style="737" customWidth="1"/>
    <col min="6316" max="6316" width="9.109375" style="737"/>
    <col min="6317" max="6317" width="5.44140625" style="737" customWidth="1"/>
    <col min="6318" max="6320" width="9.109375" style="737"/>
    <col min="6321" max="6321" width="5.44140625" style="737" customWidth="1"/>
    <col min="6322" max="6323" width="9.33203125" style="737" customWidth="1"/>
    <col min="6324" max="6324" width="5.44140625" style="737" customWidth="1"/>
    <col min="6325" max="6325" width="21.6640625" style="737" bestFit="1" customWidth="1"/>
    <col min="6326" max="6329" width="11.44140625" style="737" customWidth="1"/>
    <col min="6330" max="6330" width="5.44140625" style="737" customWidth="1"/>
    <col min="6331" max="6331" width="9.109375" style="737"/>
    <col min="6332" max="6332" width="5.5546875" style="737" customWidth="1"/>
    <col min="6333" max="6333" width="16.88671875" style="737" customWidth="1"/>
    <col min="6334" max="6336" width="14.5546875" style="737" customWidth="1"/>
    <col min="6337" max="6337" width="5.5546875" style="737" customWidth="1"/>
    <col min="6338" max="6339" width="9.109375" style="737"/>
    <col min="6340" max="6340" width="5.6640625" style="737" customWidth="1"/>
    <col min="6341" max="6341" width="9.109375" style="737"/>
    <col min="6342" max="6342" width="9" style="737" customWidth="1"/>
    <col min="6343" max="6343" width="9.44140625" style="737" bestFit="1" customWidth="1"/>
    <col min="6344" max="6344" width="10.44140625" style="737" bestFit="1" customWidth="1"/>
    <col min="6345" max="6348" width="9.44140625" style="737" bestFit="1" customWidth="1"/>
    <col min="6349" max="6349" width="5.6640625" style="737" customWidth="1"/>
    <col min="6350" max="6350" width="9.109375" style="737"/>
    <col min="6351" max="6351" width="5.6640625" style="737" customWidth="1"/>
    <col min="6352" max="6352" width="9.109375" style="737"/>
    <col min="6353" max="6353" width="9" style="737" customWidth="1"/>
    <col min="6354" max="6354" width="9.44140625" style="737" bestFit="1" customWidth="1"/>
    <col min="6355" max="6355" width="9.88671875" style="737" bestFit="1" customWidth="1"/>
    <col min="6356" max="6359" width="9.44140625" style="737" bestFit="1" customWidth="1"/>
    <col min="6360" max="6360" width="5.6640625" style="737" customWidth="1"/>
    <col min="6361" max="6361" width="9.109375" style="737"/>
    <col min="6362" max="6362" width="5.5546875" style="737" customWidth="1"/>
    <col min="6363" max="6363" width="16.44140625" style="737" customWidth="1"/>
    <col min="6364" max="6364" width="10.6640625" style="737" customWidth="1"/>
    <col min="6365" max="6370" width="9.5546875" style="737" customWidth="1"/>
    <col min="6371" max="6371" width="5.5546875" style="737" customWidth="1"/>
    <col min="6372" max="6373" width="9.109375" style="737"/>
    <col min="6374" max="6374" width="5.44140625" style="737" customWidth="1"/>
    <col min="6375" max="6375" width="8.109375" style="737" customWidth="1"/>
    <col min="6376" max="6376" width="9.33203125" style="737" customWidth="1"/>
    <col min="6377" max="6377" width="10.6640625" style="737" customWidth="1"/>
    <col min="6378" max="6378" width="9.33203125" style="737" customWidth="1"/>
    <col min="6379" max="6379" width="5.44140625" style="737" customWidth="1"/>
    <col min="6380" max="6380" width="9.109375" style="737"/>
    <col min="6381" max="6381" width="5.44140625" style="737" customWidth="1"/>
    <col min="6382" max="6384" width="9.44140625" style="737" customWidth="1"/>
    <col min="6385" max="6385" width="5.44140625" style="737" customWidth="1"/>
    <col min="6386" max="6387" width="9.109375" style="737"/>
    <col min="6388" max="6388" width="5.44140625" style="737" customWidth="1"/>
    <col min="6389" max="6389" width="13.5546875" style="737" customWidth="1"/>
    <col min="6390" max="6390" width="13.6640625" style="737" customWidth="1"/>
    <col min="6391" max="6391" width="13.5546875" style="737" customWidth="1"/>
    <col min="6392" max="6392" width="5.44140625" style="737" customWidth="1"/>
    <col min="6393" max="6394" width="9.109375" style="737"/>
    <col min="6395" max="6395" width="5.44140625" style="737" customWidth="1"/>
    <col min="6396" max="6396" width="11.109375" style="737" bestFit="1" customWidth="1"/>
    <col min="6397" max="6404" width="9.44140625" style="737" customWidth="1"/>
    <col min="6405" max="6405" width="5.44140625" style="737" customWidth="1"/>
    <col min="6406" max="6538" width="9.109375" style="737"/>
    <col min="6539" max="6539" width="5.88671875" style="737" customWidth="1"/>
    <col min="6540" max="6540" width="5.6640625" style="737" customWidth="1"/>
    <col min="6541" max="6541" width="35.5546875" style="737" customWidth="1"/>
    <col min="6542" max="6542" width="14.5546875" style="737" customWidth="1"/>
    <col min="6543" max="6543" width="14.44140625" style="737" customWidth="1"/>
    <col min="6544" max="6544" width="5.6640625" style="737" customWidth="1"/>
    <col min="6545" max="6545" width="14.5546875" style="737" customWidth="1"/>
    <col min="6546" max="6547" width="5.88671875" style="737" customWidth="1"/>
    <col min="6548" max="6548" width="26.6640625" style="737" customWidth="1"/>
    <col min="6549" max="6552" width="11.33203125" style="737" customWidth="1"/>
    <col min="6553" max="6553" width="5.5546875" style="737" customWidth="1"/>
    <col min="6554" max="6554" width="14.5546875" style="737" customWidth="1"/>
    <col min="6555" max="6555" width="5.6640625" style="737" customWidth="1"/>
    <col min="6556" max="6556" width="30.88671875" style="737" bestFit="1" customWidth="1"/>
    <col min="6557" max="6557" width="9.109375" style="737"/>
    <col min="6558" max="6558" width="10.88671875" style="737" bestFit="1" customWidth="1"/>
    <col min="6559" max="6559" width="42.44140625" style="737" customWidth="1"/>
    <col min="6560" max="6560" width="5.88671875" style="737" customWidth="1"/>
    <col min="6561" max="6561" width="14.44140625" style="737" customWidth="1"/>
    <col min="6562" max="6562" width="5.5546875" style="737" customWidth="1"/>
    <col min="6563" max="6563" width="16" style="737" bestFit="1" customWidth="1"/>
    <col min="6564" max="6569" width="10.33203125" style="737" customWidth="1"/>
    <col min="6570" max="6570" width="5.5546875" style="737" customWidth="1"/>
    <col min="6571" max="6571" width="9.5546875" style="737" customWidth="1"/>
    <col min="6572" max="6572" width="9.109375" style="737"/>
    <col min="6573" max="6573" width="5.44140625" style="737" customWidth="1"/>
    <col min="6574" max="6576" width="9.109375" style="737"/>
    <col min="6577" max="6577" width="5.44140625" style="737" customWidth="1"/>
    <col min="6578" max="6579" width="9.33203125" style="737" customWidth="1"/>
    <col min="6580" max="6580" width="5.44140625" style="737" customWidth="1"/>
    <col min="6581" max="6581" width="21.6640625" style="737" bestFit="1" customWidth="1"/>
    <col min="6582" max="6585" width="11.44140625" style="737" customWidth="1"/>
    <col min="6586" max="6586" width="5.44140625" style="737" customWidth="1"/>
    <col min="6587" max="6587" width="9.109375" style="737"/>
    <col min="6588" max="6588" width="5.5546875" style="737" customWidth="1"/>
    <col min="6589" max="6589" width="16.88671875" style="737" customWidth="1"/>
    <col min="6590" max="6592" width="14.5546875" style="737" customWidth="1"/>
    <col min="6593" max="6593" width="5.5546875" style="737" customWidth="1"/>
    <col min="6594" max="6595" width="9.109375" style="737"/>
    <col min="6596" max="6596" width="5.6640625" style="737" customWidth="1"/>
    <col min="6597" max="6597" width="9.109375" style="737"/>
    <col min="6598" max="6598" width="9" style="737" customWidth="1"/>
    <col min="6599" max="6599" width="9.44140625" style="737" bestFit="1" customWidth="1"/>
    <col min="6600" max="6600" width="10.44140625" style="737" bestFit="1" customWidth="1"/>
    <col min="6601" max="6604" width="9.44140625" style="737" bestFit="1" customWidth="1"/>
    <col min="6605" max="6605" width="5.6640625" style="737" customWidth="1"/>
    <col min="6606" max="6606" width="9.109375" style="737"/>
    <col min="6607" max="6607" width="5.6640625" style="737" customWidth="1"/>
    <col min="6608" max="6608" width="9.109375" style="737"/>
    <col min="6609" max="6609" width="9" style="737" customWidth="1"/>
    <col min="6610" max="6610" width="9.44140625" style="737" bestFit="1" customWidth="1"/>
    <col min="6611" max="6611" width="9.88671875" style="737" bestFit="1" customWidth="1"/>
    <col min="6612" max="6615" width="9.44140625" style="737" bestFit="1" customWidth="1"/>
    <col min="6616" max="6616" width="5.6640625" style="737" customWidth="1"/>
    <col min="6617" max="6617" width="9.109375" style="737"/>
    <col min="6618" max="6618" width="5.5546875" style="737" customWidth="1"/>
    <col min="6619" max="6619" width="16.44140625" style="737" customWidth="1"/>
    <col min="6620" max="6620" width="10.6640625" style="737" customWidth="1"/>
    <col min="6621" max="6626" width="9.5546875" style="737" customWidth="1"/>
    <col min="6627" max="6627" width="5.5546875" style="737" customWidth="1"/>
    <col min="6628" max="6629" width="9.109375" style="737"/>
    <col min="6630" max="6630" width="5.44140625" style="737" customWidth="1"/>
    <col min="6631" max="6631" width="8.109375" style="737" customWidth="1"/>
    <col min="6632" max="6632" width="9.33203125" style="737" customWidth="1"/>
    <col min="6633" max="6633" width="10.6640625" style="737" customWidth="1"/>
    <col min="6634" max="6634" width="9.33203125" style="737" customWidth="1"/>
    <col min="6635" max="6635" width="5.44140625" style="737" customWidth="1"/>
    <col min="6636" max="6636" width="9.109375" style="737"/>
    <col min="6637" max="6637" width="5.44140625" style="737" customWidth="1"/>
    <col min="6638" max="6640" width="9.44140625" style="737" customWidth="1"/>
    <col min="6641" max="6641" width="5.44140625" style="737" customWidth="1"/>
    <col min="6642" max="6643" width="9.109375" style="737"/>
    <col min="6644" max="6644" width="5.44140625" style="737" customWidth="1"/>
    <col min="6645" max="6645" width="13.5546875" style="737" customWidth="1"/>
    <col min="6646" max="6646" width="13.6640625" style="737" customWidth="1"/>
    <col min="6647" max="6647" width="13.5546875" style="737" customWidth="1"/>
    <col min="6648" max="6648" width="5.44140625" style="737" customWidth="1"/>
    <col min="6649" max="6650" width="9.109375" style="737"/>
    <col min="6651" max="6651" width="5.44140625" style="737" customWidth="1"/>
    <col min="6652" max="6652" width="11.109375" style="737" bestFit="1" customWidth="1"/>
    <col min="6653" max="6660" width="9.44140625" style="737" customWidth="1"/>
    <col min="6661" max="6661" width="5.44140625" style="737" customWidth="1"/>
    <col min="6662" max="6794" width="9.109375" style="737"/>
    <col min="6795" max="6795" width="5.88671875" style="737" customWidth="1"/>
    <col min="6796" max="6796" width="5.6640625" style="737" customWidth="1"/>
    <col min="6797" max="6797" width="35.5546875" style="737" customWidth="1"/>
    <col min="6798" max="6798" width="14.5546875" style="737" customWidth="1"/>
    <col min="6799" max="6799" width="14.44140625" style="737" customWidth="1"/>
    <col min="6800" max="6800" width="5.6640625" style="737" customWidth="1"/>
    <col min="6801" max="6801" width="14.5546875" style="737" customWidth="1"/>
    <col min="6802" max="6803" width="5.88671875" style="737" customWidth="1"/>
    <col min="6804" max="6804" width="26.6640625" style="737" customWidth="1"/>
    <col min="6805" max="6808" width="11.33203125" style="737" customWidth="1"/>
    <col min="6809" max="6809" width="5.5546875" style="737" customWidth="1"/>
    <col min="6810" max="6810" width="14.5546875" style="737" customWidth="1"/>
    <col min="6811" max="6811" width="5.6640625" style="737" customWidth="1"/>
    <col min="6812" max="6812" width="30.88671875" style="737" bestFit="1" customWidth="1"/>
    <col min="6813" max="6813" width="9.109375" style="737"/>
    <col min="6814" max="6814" width="10.88671875" style="737" bestFit="1" customWidth="1"/>
    <col min="6815" max="6815" width="42.44140625" style="737" customWidth="1"/>
    <col min="6816" max="6816" width="5.88671875" style="737" customWidth="1"/>
    <col min="6817" max="6817" width="14.44140625" style="737" customWidth="1"/>
    <col min="6818" max="6818" width="5.5546875" style="737" customWidth="1"/>
    <col min="6819" max="6819" width="16" style="737" bestFit="1" customWidth="1"/>
    <col min="6820" max="6825" width="10.33203125" style="737" customWidth="1"/>
    <col min="6826" max="6826" width="5.5546875" style="737" customWidth="1"/>
    <col min="6827" max="6827" width="9.5546875" style="737" customWidth="1"/>
    <col min="6828" max="6828" width="9.109375" style="737"/>
    <col min="6829" max="6829" width="5.44140625" style="737" customWidth="1"/>
    <col min="6830" max="6832" width="9.109375" style="737"/>
    <col min="6833" max="6833" width="5.44140625" style="737" customWidth="1"/>
    <col min="6834" max="6835" width="9.33203125" style="737" customWidth="1"/>
    <col min="6836" max="6836" width="5.44140625" style="737" customWidth="1"/>
    <col min="6837" max="6837" width="21.6640625" style="737" bestFit="1" customWidth="1"/>
    <col min="6838" max="6841" width="11.44140625" style="737" customWidth="1"/>
    <col min="6842" max="6842" width="5.44140625" style="737" customWidth="1"/>
    <col min="6843" max="6843" width="9.109375" style="737"/>
    <col min="6844" max="6844" width="5.5546875" style="737" customWidth="1"/>
    <col min="6845" max="6845" width="16.88671875" style="737" customWidth="1"/>
    <col min="6846" max="6848" width="14.5546875" style="737" customWidth="1"/>
    <col min="6849" max="6849" width="5.5546875" style="737" customWidth="1"/>
    <col min="6850" max="6851" width="9.109375" style="737"/>
    <col min="6852" max="6852" width="5.6640625" style="737" customWidth="1"/>
    <col min="6853" max="6853" width="9.109375" style="737"/>
    <col min="6854" max="6854" width="9" style="737" customWidth="1"/>
    <col min="6855" max="6855" width="9.44140625" style="737" bestFit="1" customWidth="1"/>
    <col min="6856" max="6856" width="10.44140625" style="737" bestFit="1" customWidth="1"/>
    <col min="6857" max="6860" width="9.44140625" style="737" bestFit="1" customWidth="1"/>
    <col min="6861" max="6861" width="5.6640625" style="737" customWidth="1"/>
    <col min="6862" max="6862" width="9.109375" style="737"/>
    <col min="6863" max="6863" width="5.6640625" style="737" customWidth="1"/>
    <col min="6864" max="6864" width="9.109375" style="737"/>
    <col min="6865" max="6865" width="9" style="737" customWidth="1"/>
    <col min="6866" max="6866" width="9.44140625" style="737" bestFit="1" customWidth="1"/>
    <col min="6867" max="6867" width="9.88671875" style="737" bestFit="1" customWidth="1"/>
    <col min="6868" max="6871" width="9.44140625" style="737" bestFit="1" customWidth="1"/>
    <col min="6872" max="6872" width="5.6640625" style="737" customWidth="1"/>
    <col min="6873" max="6873" width="9.109375" style="737"/>
    <col min="6874" max="6874" width="5.5546875" style="737" customWidth="1"/>
    <col min="6875" max="6875" width="16.44140625" style="737" customWidth="1"/>
    <col min="6876" max="6876" width="10.6640625" style="737" customWidth="1"/>
    <col min="6877" max="6882" width="9.5546875" style="737" customWidth="1"/>
    <col min="6883" max="6883" width="5.5546875" style="737" customWidth="1"/>
    <col min="6884" max="6885" width="9.109375" style="737"/>
    <col min="6886" max="6886" width="5.44140625" style="737" customWidth="1"/>
    <col min="6887" max="6887" width="8.109375" style="737" customWidth="1"/>
    <col min="6888" max="6888" width="9.33203125" style="737" customWidth="1"/>
    <col min="6889" max="6889" width="10.6640625" style="737" customWidth="1"/>
    <col min="6890" max="6890" width="9.33203125" style="737" customWidth="1"/>
    <col min="6891" max="6891" width="5.44140625" style="737" customWidth="1"/>
    <col min="6892" max="6892" width="9.109375" style="737"/>
    <col min="6893" max="6893" width="5.44140625" style="737" customWidth="1"/>
    <col min="6894" max="6896" width="9.44140625" style="737" customWidth="1"/>
    <col min="6897" max="6897" width="5.44140625" style="737" customWidth="1"/>
    <col min="6898" max="6899" width="9.109375" style="737"/>
    <col min="6900" max="6900" width="5.44140625" style="737" customWidth="1"/>
    <col min="6901" max="6901" width="13.5546875" style="737" customWidth="1"/>
    <col min="6902" max="6902" width="13.6640625" style="737" customWidth="1"/>
    <col min="6903" max="6903" width="13.5546875" style="737" customWidth="1"/>
    <col min="6904" max="6904" width="5.44140625" style="737" customWidth="1"/>
    <col min="6905" max="6906" width="9.109375" style="737"/>
    <col min="6907" max="6907" width="5.44140625" style="737" customWidth="1"/>
    <col min="6908" max="6908" width="11.109375" style="737" bestFit="1" customWidth="1"/>
    <col min="6909" max="6916" width="9.44140625" style="737" customWidth="1"/>
    <col min="6917" max="6917" width="5.44140625" style="737" customWidth="1"/>
    <col min="6918" max="7050" width="9.109375" style="737"/>
    <col min="7051" max="7051" width="5.88671875" style="737" customWidth="1"/>
    <col min="7052" max="7052" width="5.6640625" style="737" customWidth="1"/>
    <col min="7053" max="7053" width="35.5546875" style="737" customWidth="1"/>
    <col min="7054" max="7054" width="14.5546875" style="737" customWidth="1"/>
    <col min="7055" max="7055" width="14.44140625" style="737" customWidth="1"/>
    <col min="7056" max="7056" width="5.6640625" style="737" customWidth="1"/>
    <col min="7057" max="7057" width="14.5546875" style="737" customWidth="1"/>
    <col min="7058" max="7059" width="5.88671875" style="737" customWidth="1"/>
    <col min="7060" max="7060" width="26.6640625" style="737" customWidth="1"/>
    <col min="7061" max="7064" width="11.33203125" style="737" customWidth="1"/>
    <col min="7065" max="7065" width="5.5546875" style="737" customWidth="1"/>
    <col min="7066" max="7066" width="14.5546875" style="737" customWidth="1"/>
    <col min="7067" max="7067" width="5.6640625" style="737" customWidth="1"/>
    <col min="7068" max="7068" width="30.88671875" style="737" bestFit="1" customWidth="1"/>
    <col min="7069" max="7069" width="9.109375" style="737"/>
    <col min="7070" max="7070" width="10.88671875" style="737" bestFit="1" customWidth="1"/>
    <col min="7071" max="7071" width="42.44140625" style="737" customWidth="1"/>
    <col min="7072" max="7072" width="5.88671875" style="737" customWidth="1"/>
    <col min="7073" max="7073" width="14.44140625" style="737" customWidth="1"/>
    <col min="7074" max="7074" width="5.5546875" style="737" customWidth="1"/>
    <col min="7075" max="7075" width="16" style="737" bestFit="1" customWidth="1"/>
    <col min="7076" max="7081" width="10.33203125" style="737" customWidth="1"/>
    <col min="7082" max="7082" width="5.5546875" style="737" customWidth="1"/>
    <col min="7083" max="7083" width="9.5546875" style="737" customWidth="1"/>
    <col min="7084" max="7084" width="9.109375" style="737"/>
    <col min="7085" max="7085" width="5.44140625" style="737" customWidth="1"/>
    <col min="7086" max="7088" width="9.109375" style="737"/>
    <col min="7089" max="7089" width="5.44140625" style="737" customWidth="1"/>
    <col min="7090" max="7091" width="9.33203125" style="737" customWidth="1"/>
    <col min="7092" max="7092" width="5.44140625" style="737" customWidth="1"/>
    <col min="7093" max="7093" width="21.6640625" style="737" bestFit="1" customWidth="1"/>
    <col min="7094" max="7097" width="11.44140625" style="737" customWidth="1"/>
    <col min="7098" max="7098" width="5.44140625" style="737" customWidth="1"/>
    <col min="7099" max="7099" width="9.109375" style="737"/>
    <col min="7100" max="7100" width="5.5546875" style="737" customWidth="1"/>
    <col min="7101" max="7101" width="16.88671875" style="737" customWidth="1"/>
    <col min="7102" max="7104" width="14.5546875" style="737" customWidth="1"/>
    <col min="7105" max="7105" width="5.5546875" style="737" customWidth="1"/>
    <col min="7106" max="7107" width="9.109375" style="737"/>
    <col min="7108" max="7108" width="5.6640625" style="737" customWidth="1"/>
    <col min="7109" max="7109" width="9.109375" style="737"/>
    <col min="7110" max="7110" width="9" style="737" customWidth="1"/>
    <col min="7111" max="7111" width="9.44140625" style="737" bestFit="1" customWidth="1"/>
    <col min="7112" max="7112" width="10.44140625" style="737" bestFit="1" customWidth="1"/>
    <col min="7113" max="7116" width="9.44140625" style="737" bestFit="1" customWidth="1"/>
    <col min="7117" max="7117" width="5.6640625" style="737" customWidth="1"/>
    <col min="7118" max="7118" width="9.109375" style="737"/>
    <col min="7119" max="7119" width="5.6640625" style="737" customWidth="1"/>
    <col min="7120" max="7120" width="9.109375" style="737"/>
    <col min="7121" max="7121" width="9" style="737" customWidth="1"/>
    <col min="7122" max="7122" width="9.44140625" style="737" bestFit="1" customWidth="1"/>
    <col min="7123" max="7123" width="9.88671875" style="737" bestFit="1" customWidth="1"/>
    <col min="7124" max="7127" width="9.44140625" style="737" bestFit="1" customWidth="1"/>
    <col min="7128" max="7128" width="5.6640625" style="737" customWidth="1"/>
    <col min="7129" max="7129" width="9.109375" style="737"/>
    <col min="7130" max="7130" width="5.5546875" style="737" customWidth="1"/>
    <col min="7131" max="7131" width="16.44140625" style="737" customWidth="1"/>
    <col min="7132" max="7132" width="10.6640625" style="737" customWidth="1"/>
    <col min="7133" max="7138" width="9.5546875" style="737" customWidth="1"/>
    <col min="7139" max="7139" width="5.5546875" style="737" customWidth="1"/>
    <col min="7140" max="7141" width="9.109375" style="737"/>
    <col min="7142" max="7142" width="5.44140625" style="737" customWidth="1"/>
    <col min="7143" max="7143" width="8.109375" style="737" customWidth="1"/>
    <col min="7144" max="7144" width="9.33203125" style="737" customWidth="1"/>
    <col min="7145" max="7145" width="10.6640625" style="737" customWidth="1"/>
    <col min="7146" max="7146" width="9.33203125" style="737" customWidth="1"/>
    <col min="7147" max="7147" width="5.44140625" style="737" customWidth="1"/>
    <col min="7148" max="7148" width="9.109375" style="737"/>
    <col min="7149" max="7149" width="5.44140625" style="737" customWidth="1"/>
    <col min="7150" max="7152" width="9.44140625" style="737" customWidth="1"/>
    <col min="7153" max="7153" width="5.44140625" style="737" customWidth="1"/>
    <col min="7154" max="7155" width="9.109375" style="737"/>
    <col min="7156" max="7156" width="5.44140625" style="737" customWidth="1"/>
    <col min="7157" max="7157" width="13.5546875" style="737" customWidth="1"/>
    <col min="7158" max="7158" width="13.6640625" style="737" customWidth="1"/>
    <col min="7159" max="7159" width="13.5546875" style="737" customWidth="1"/>
    <col min="7160" max="7160" width="5.44140625" style="737" customWidth="1"/>
    <col min="7161" max="7162" width="9.109375" style="737"/>
    <col min="7163" max="7163" width="5.44140625" style="737" customWidth="1"/>
    <col min="7164" max="7164" width="11.109375" style="737" bestFit="1" customWidth="1"/>
    <col min="7165" max="7172" width="9.44140625" style="737" customWidth="1"/>
    <col min="7173" max="7173" width="5.44140625" style="737" customWidth="1"/>
    <col min="7174" max="7306" width="9.109375" style="737"/>
    <col min="7307" max="7307" width="5.88671875" style="737" customWidth="1"/>
    <col min="7308" max="7308" width="5.6640625" style="737" customWidth="1"/>
    <col min="7309" max="7309" width="35.5546875" style="737" customWidth="1"/>
    <col min="7310" max="7310" width="14.5546875" style="737" customWidth="1"/>
    <col min="7311" max="7311" width="14.44140625" style="737" customWidth="1"/>
    <col min="7312" max="7312" width="5.6640625" style="737" customWidth="1"/>
    <col min="7313" max="7313" width="14.5546875" style="737" customWidth="1"/>
    <col min="7314" max="7315" width="5.88671875" style="737" customWidth="1"/>
    <col min="7316" max="7316" width="26.6640625" style="737" customWidth="1"/>
    <col min="7317" max="7320" width="11.33203125" style="737" customWidth="1"/>
    <col min="7321" max="7321" width="5.5546875" style="737" customWidth="1"/>
    <col min="7322" max="7322" width="14.5546875" style="737" customWidth="1"/>
    <col min="7323" max="7323" width="5.6640625" style="737" customWidth="1"/>
    <col min="7324" max="7324" width="30.88671875" style="737" bestFit="1" customWidth="1"/>
    <col min="7325" max="7325" width="9.109375" style="737"/>
    <col min="7326" max="7326" width="10.88671875" style="737" bestFit="1" customWidth="1"/>
    <col min="7327" max="7327" width="42.44140625" style="737" customWidth="1"/>
    <col min="7328" max="7328" width="5.88671875" style="737" customWidth="1"/>
    <col min="7329" max="7329" width="14.44140625" style="737" customWidth="1"/>
    <col min="7330" max="7330" width="5.5546875" style="737" customWidth="1"/>
    <col min="7331" max="7331" width="16" style="737" bestFit="1" customWidth="1"/>
    <col min="7332" max="7337" width="10.33203125" style="737" customWidth="1"/>
    <col min="7338" max="7338" width="5.5546875" style="737" customWidth="1"/>
    <col min="7339" max="7339" width="9.5546875" style="737" customWidth="1"/>
    <col min="7340" max="7340" width="9.109375" style="737"/>
    <col min="7341" max="7341" width="5.44140625" style="737" customWidth="1"/>
    <col min="7342" max="7344" width="9.109375" style="737"/>
    <col min="7345" max="7345" width="5.44140625" style="737" customWidth="1"/>
    <col min="7346" max="7347" width="9.33203125" style="737" customWidth="1"/>
    <col min="7348" max="7348" width="5.44140625" style="737" customWidth="1"/>
    <col min="7349" max="7349" width="21.6640625" style="737" bestFit="1" customWidth="1"/>
    <col min="7350" max="7353" width="11.44140625" style="737" customWidth="1"/>
    <col min="7354" max="7354" width="5.44140625" style="737" customWidth="1"/>
    <col min="7355" max="7355" width="9.109375" style="737"/>
    <col min="7356" max="7356" width="5.5546875" style="737" customWidth="1"/>
    <col min="7357" max="7357" width="16.88671875" style="737" customWidth="1"/>
    <col min="7358" max="7360" width="14.5546875" style="737" customWidth="1"/>
    <col min="7361" max="7361" width="5.5546875" style="737" customWidth="1"/>
    <col min="7362" max="7363" width="9.109375" style="737"/>
    <col min="7364" max="7364" width="5.6640625" style="737" customWidth="1"/>
    <col min="7365" max="7365" width="9.109375" style="737"/>
    <col min="7366" max="7366" width="9" style="737" customWidth="1"/>
    <col min="7367" max="7367" width="9.44140625" style="737" bestFit="1" customWidth="1"/>
    <col min="7368" max="7368" width="10.44140625" style="737" bestFit="1" customWidth="1"/>
    <col min="7369" max="7372" width="9.44140625" style="737" bestFit="1" customWidth="1"/>
    <col min="7373" max="7373" width="5.6640625" style="737" customWidth="1"/>
    <col min="7374" max="7374" width="9.109375" style="737"/>
    <col min="7375" max="7375" width="5.6640625" style="737" customWidth="1"/>
    <col min="7376" max="7376" width="9.109375" style="737"/>
    <col min="7377" max="7377" width="9" style="737" customWidth="1"/>
    <col min="7378" max="7378" width="9.44140625" style="737" bestFit="1" customWidth="1"/>
    <col min="7379" max="7379" width="9.88671875" style="737" bestFit="1" customWidth="1"/>
    <col min="7380" max="7383" width="9.44140625" style="737" bestFit="1" customWidth="1"/>
    <col min="7384" max="7384" width="5.6640625" style="737" customWidth="1"/>
    <col min="7385" max="7385" width="9.109375" style="737"/>
    <col min="7386" max="7386" width="5.5546875" style="737" customWidth="1"/>
    <col min="7387" max="7387" width="16.44140625" style="737" customWidth="1"/>
    <col min="7388" max="7388" width="10.6640625" style="737" customWidth="1"/>
    <col min="7389" max="7394" width="9.5546875" style="737" customWidth="1"/>
    <col min="7395" max="7395" width="5.5546875" style="737" customWidth="1"/>
    <col min="7396" max="7397" width="9.109375" style="737"/>
    <col min="7398" max="7398" width="5.44140625" style="737" customWidth="1"/>
    <col min="7399" max="7399" width="8.109375" style="737" customWidth="1"/>
    <col min="7400" max="7400" width="9.33203125" style="737" customWidth="1"/>
    <col min="7401" max="7401" width="10.6640625" style="737" customWidth="1"/>
    <col min="7402" max="7402" width="9.33203125" style="737" customWidth="1"/>
    <col min="7403" max="7403" width="5.44140625" style="737" customWidth="1"/>
    <col min="7404" max="7404" width="9.109375" style="737"/>
    <col min="7405" max="7405" width="5.44140625" style="737" customWidth="1"/>
    <col min="7406" max="7408" width="9.44140625" style="737" customWidth="1"/>
    <col min="7409" max="7409" width="5.44140625" style="737" customWidth="1"/>
    <col min="7410" max="7411" width="9.109375" style="737"/>
    <col min="7412" max="7412" width="5.44140625" style="737" customWidth="1"/>
    <col min="7413" max="7413" width="13.5546875" style="737" customWidth="1"/>
    <col min="7414" max="7414" width="13.6640625" style="737" customWidth="1"/>
    <col min="7415" max="7415" width="13.5546875" style="737" customWidth="1"/>
    <col min="7416" max="7416" width="5.44140625" style="737" customWidth="1"/>
    <col min="7417" max="7418" width="9.109375" style="737"/>
    <col min="7419" max="7419" width="5.44140625" style="737" customWidth="1"/>
    <col min="7420" max="7420" width="11.109375" style="737" bestFit="1" customWidth="1"/>
    <col min="7421" max="7428" width="9.44140625" style="737" customWidth="1"/>
    <col min="7429" max="7429" width="5.44140625" style="737" customWidth="1"/>
    <col min="7430" max="7562" width="9.109375" style="737"/>
    <col min="7563" max="7563" width="5.88671875" style="737" customWidth="1"/>
    <col min="7564" max="7564" width="5.6640625" style="737" customWidth="1"/>
    <col min="7565" max="7565" width="35.5546875" style="737" customWidth="1"/>
    <col min="7566" max="7566" width="14.5546875" style="737" customWidth="1"/>
    <col min="7567" max="7567" width="14.44140625" style="737" customWidth="1"/>
    <col min="7568" max="7568" width="5.6640625" style="737" customWidth="1"/>
    <col min="7569" max="7569" width="14.5546875" style="737" customWidth="1"/>
    <col min="7570" max="7571" width="5.88671875" style="737" customWidth="1"/>
    <col min="7572" max="7572" width="26.6640625" style="737" customWidth="1"/>
    <col min="7573" max="7576" width="11.33203125" style="737" customWidth="1"/>
    <col min="7577" max="7577" width="5.5546875" style="737" customWidth="1"/>
    <col min="7578" max="7578" width="14.5546875" style="737" customWidth="1"/>
    <col min="7579" max="7579" width="5.6640625" style="737" customWidth="1"/>
    <col min="7580" max="7580" width="30.88671875" style="737" bestFit="1" customWidth="1"/>
    <col min="7581" max="7581" width="9.109375" style="737"/>
    <col min="7582" max="7582" width="10.88671875" style="737" bestFit="1" customWidth="1"/>
    <col min="7583" max="7583" width="42.44140625" style="737" customWidth="1"/>
    <col min="7584" max="7584" width="5.88671875" style="737" customWidth="1"/>
    <col min="7585" max="7585" width="14.44140625" style="737" customWidth="1"/>
    <col min="7586" max="7586" width="5.5546875" style="737" customWidth="1"/>
    <col min="7587" max="7587" width="16" style="737" bestFit="1" customWidth="1"/>
    <col min="7588" max="7593" width="10.33203125" style="737" customWidth="1"/>
    <col min="7594" max="7594" width="5.5546875" style="737" customWidth="1"/>
    <col min="7595" max="7595" width="9.5546875" style="737" customWidth="1"/>
    <col min="7596" max="7596" width="9.109375" style="737"/>
    <col min="7597" max="7597" width="5.44140625" style="737" customWidth="1"/>
    <col min="7598" max="7600" width="9.109375" style="737"/>
    <col min="7601" max="7601" width="5.44140625" style="737" customWidth="1"/>
    <col min="7602" max="7603" width="9.33203125" style="737" customWidth="1"/>
    <col min="7604" max="7604" width="5.44140625" style="737" customWidth="1"/>
    <col min="7605" max="7605" width="21.6640625" style="737" bestFit="1" customWidth="1"/>
    <col min="7606" max="7609" width="11.44140625" style="737" customWidth="1"/>
    <col min="7610" max="7610" width="5.44140625" style="737" customWidth="1"/>
    <col min="7611" max="7611" width="9.109375" style="737"/>
    <col min="7612" max="7612" width="5.5546875" style="737" customWidth="1"/>
    <col min="7613" max="7613" width="16.88671875" style="737" customWidth="1"/>
    <col min="7614" max="7616" width="14.5546875" style="737" customWidth="1"/>
    <col min="7617" max="7617" width="5.5546875" style="737" customWidth="1"/>
    <col min="7618" max="7619" width="9.109375" style="737"/>
    <col min="7620" max="7620" width="5.6640625" style="737" customWidth="1"/>
    <col min="7621" max="7621" width="9.109375" style="737"/>
    <col min="7622" max="7622" width="9" style="737" customWidth="1"/>
    <col min="7623" max="7623" width="9.44140625" style="737" bestFit="1" customWidth="1"/>
    <col min="7624" max="7624" width="10.44140625" style="737" bestFit="1" customWidth="1"/>
    <col min="7625" max="7628" width="9.44140625" style="737" bestFit="1" customWidth="1"/>
    <col min="7629" max="7629" width="5.6640625" style="737" customWidth="1"/>
    <col min="7630" max="7630" width="9.109375" style="737"/>
    <col min="7631" max="7631" width="5.6640625" style="737" customWidth="1"/>
    <col min="7632" max="7632" width="9.109375" style="737"/>
    <col min="7633" max="7633" width="9" style="737" customWidth="1"/>
    <col min="7634" max="7634" width="9.44140625" style="737" bestFit="1" customWidth="1"/>
    <col min="7635" max="7635" width="9.88671875" style="737" bestFit="1" customWidth="1"/>
    <col min="7636" max="7639" width="9.44140625" style="737" bestFit="1" customWidth="1"/>
    <col min="7640" max="7640" width="5.6640625" style="737" customWidth="1"/>
    <col min="7641" max="7641" width="9.109375" style="737"/>
    <col min="7642" max="7642" width="5.5546875" style="737" customWidth="1"/>
    <col min="7643" max="7643" width="16.44140625" style="737" customWidth="1"/>
    <col min="7644" max="7644" width="10.6640625" style="737" customWidth="1"/>
    <col min="7645" max="7650" width="9.5546875" style="737" customWidth="1"/>
    <col min="7651" max="7651" width="5.5546875" style="737" customWidth="1"/>
    <col min="7652" max="7653" width="9.109375" style="737"/>
    <col min="7654" max="7654" width="5.44140625" style="737" customWidth="1"/>
    <col min="7655" max="7655" width="8.109375" style="737" customWidth="1"/>
    <col min="7656" max="7656" width="9.33203125" style="737" customWidth="1"/>
    <col min="7657" max="7657" width="10.6640625" style="737" customWidth="1"/>
    <col min="7658" max="7658" width="9.33203125" style="737" customWidth="1"/>
    <col min="7659" max="7659" width="5.44140625" style="737" customWidth="1"/>
    <col min="7660" max="7660" width="9.109375" style="737"/>
    <col min="7661" max="7661" width="5.44140625" style="737" customWidth="1"/>
    <col min="7662" max="7664" width="9.44140625" style="737" customWidth="1"/>
    <col min="7665" max="7665" width="5.44140625" style="737" customWidth="1"/>
    <col min="7666" max="7667" width="9.109375" style="737"/>
    <col min="7668" max="7668" width="5.44140625" style="737" customWidth="1"/>
    <col min="7669" max="7669" width="13.5546875" style="737" customWidth="1"/>
    <col min="7670" max="7670" width="13.6640625" style="737" customWidth="1"/>
    <col min="7671" max="7671" width="13.5546875" style="737" customWidth="1"/>
    <col min="7672" max="7672" width="5.44140625" style="737" customWidth="1"/>
    <col min="7673" max="7674" width="9.109375" style="737"/>
    <col min="7675" max="7675" width="5.44140625" style="737" customWidth="1"/>
    <col min="7676" max="7676" width="11.109375" style="737" bestFit="1" customWidth="1"/>
    <col min="7677" max="7684" width="9.44140625" style="737" customWidth="1"/>
    <col min="7685" max="7685" width="5.44140625" style="737" customWidth="1"/>
    <col min="7686" max="7818" width="9.109375" style="737"/>
    <col min="7819" max="7819" width="5.88671875" style="737" customWidth="1"/>
    <col min="7820" max="7820" width="5.6640625" style="737" customWidth="1"/>
    <col min="7821" max="7821" width="35.5546875" style="737" customWidth="1"/>
    <col min="7822" max="7822" width="14.5546875" style="737" customWidth="1"/>
    <col min="7823" max="7823" width="14.44140625" style="737" customWidth="1"/>
    <col min="7824" max="7824" width="5.6640625" style="737" customWidth="1"/>
    <col min="7825" max="7825" width="14.5546875" style="737" customWidth="1"/>
    <col min="7826" max="7827" width="5.88671875" style="737" customWidth="1"/>
    <col min="7828" max="7828" width="26.6640625" style="737" customWidth="1"/>
    <col min="7829" max="7832" width="11.33203125" style="737" customWidth="1"/>
    <col min="7833" max="7833" width="5.5546875" style="737" customWidth="1"/>
    <col min="7834" max="7834" width="14.5546875" style="737" customWidth="1"/>
    <col min="7835" max="7835" width="5.6640625" style="737" customWidth="1"/>
    <col min="7836" max="7836" width="30.88671875" style="737" bestFit="1" customWidth="1"/>
    <col min="7837" max="7837" width="9.109375" style="737"/>
    <col min="7838" max="7838" width="10.88671875" style="737" bestFit="1" customWidth="1"/>
    <col min="7839" max="7839" width="42.44140625" style="737" customWidth="1"/>
    <col min="7840" max="7840" width="5.88671875" style="737" customWidth="1"/>
    <col min="7841" max="7841" width="14.44140625" style="737" customWidth="1"/>
    <col min="7842" max="7842" width="5.5546875" style="737" customWidth="1"/>
    <col min="7843" max="7843" width="16" style="737" bestFit="1" customWidth="1"/>
    <col min="7844" max="7849" width="10.33203125" style="737" customWidth="1"/>
    <col min="7850" max="7850" width="5.5546875" style="737" customWidth="1"/>
    <col min="7851" max="7851" width="9.5546875" style="737" customWidth="1"/>
    <col min="7852" max="7852" width="9.109375" style="737"/>
    <col min="7853" max="7853" width="5.44140625" style="737" customWidth="1"/>
    <col min="7854" max="7856" width="9.109375" style="737"/>
    <col min="7857" max="7857" width="5.44140625" style="737" customWidth="1"/>
    <col min="7858" max="7859" width="9.33203125" style="737" customWidth="1"/>
    <col min="7860" max="7860" width="5.44140625" style="737" customWidth="1"/>
    <col min="7861" max="7861" width="21.6640625" style="737" bestFit="1" customWidth="1"/>
    <col min="7862" max="7865" width="11.44140625" style="737" customWidth="1"/>
    <col min="7866" max="7866" width="5.44140625" style="737" customWidth="1"/>
    <col min="7867" max="7867" width="9.109375" style="737"/>
    <col min="7868" max="7868" width="5.5546875" style="737" customWidth="1"/>
    <col min="7869" max="7869" width="16.88671875" style="737" customWidth="1"/>
    <col min="7870" max="7872" width="14.5546875" style="737" customWidth="1"/>
    <col min="7873" max="7873" width="5.5546875" style="737" customWidth="1"/>
    <col min="7874" max="7875" width="9.109375" style="737"/>
    <col min="7876" max="7876" width="5.6640625" style="737" customWidth="1"/>
    <col min="7877" max="7877" width="9.109375" style="737"/>
    <col min="7878" max="7878" width="9" style="737" customWidth="1"/>
    <col min="7879" max="7879" width="9.44140625" style="737" bestFit="1" customWidth="1"/>
    <col min="7880" max="7880" width="10.44140625" style="737" bestFit="1" customWidth="1"/>
    <col min="7881" max="7884" width="9.44140625" style="737" bestFit="1" customWidth="1"/>
    <col min="7885" max="7885" width="5.6640625" style="737" customWidth="1"/>
    <col min="7886" max="7886" width="9.109375" style="737"/>
    <col min="7887" max="7887" width="5.6640625" style="737" customWidth="1"/>
    <col min="7888" max="7888" width="9.109375" style="737"/>
    <col min="7889" max="7889" width="9" style="737" customWidth="1"/>
    <col min="7890" max="7890" width="9.44140625" style="737" bestFit="1" customWidth="1"/>
    <col min="7891" max="7891" width="9.88671875" style="737" bestFit="1" customWidth="1"/>
    <col min="7892" max="7895" width="9.44140625" style="737" bestFit="1" customWidth="1"/>
    <col min="7896" max="7896" width="5.6640625" style="737" customWidth="1"/>
    <col min="7897" max="7897" width="9.109375" style="737"/>
    <col min="7898" max="7898" width="5.5546875" style="737" customWidth="1"/>
    <col min="7899" max="7899" width="16.44140625" style="737" customWidth="1"/>
    <col min="7900" max="7900" width="10.6640625" style="737" customWidth="1"/>
    <col min="7901" max="7906" width="9.5546875" style="737" customWidth="1"/>
    <col min="7907" max="7907" width="5.5546875" style="737" customWidth="1"/>
    <col min="7908" max="7909" width="9.109375" style="737"/>
    <col min="7910" max="7910" width="5.44140625" style="737" customWidth="1"/>
    <col min="7911" max="7911" width="8.109375" style="737" customWidth="1"/>
    <col min="7912" max="7912" width="9.33203125" style="737" customWidth="1"/>
    <col min="7913" max="7913" width="10.6640625" style="737" customWidth="1"/>
    <col min="7914" max="7914" width="9.33203125" style="737" customWidth="1"/>
    <col min="7915" max="7915" width="5.44140625" style="737" customWidth="1"/>
    <col min="7916" max="7916" width="9.109375" style="737"/>
    <col min="7917" max="7917" width="5.44140625" style="737" customWidth="1"/>
    <col min="7918" max="7920" width="9.44140625" style="737" customWidth="1"/>
    <col min="7921" max="7921" width="5.44140625" style="737" customWidth="1"/>
    <col min="7922" max="7923" width="9.109375" style="737"/>
    <col min="7924" max="7924" width="5.44140625" style="737" customWidth="1"/>
    <col min="7925" max="7925" width="13.5546875" style="737" customWidth="1"/>
    <col min="7926" max="7926" width="13.6640625" style="737" customWidth="1"/>
    <col min="7927" max="7927" width="13.5546875" style="737" customWidth="1"/>
    <col min="7928" max="7928" width="5.44140625" style="737" customWidth="1"/>
    <col min="7929" max="7930" width="9.109375" style="737"/>
    <col min="7931" max="7931" width="5.44140625" style="737" customWidth="1"/>
    <col min="7932" max="7932" width="11.109375" style="737" bestFit="1" customWidth="1"/>
    <col min="7933" max="7940" width="9.44140625" style="737" customWidth="1"/>
    <col min="7941" max="7941" width="5.44140625" style="737" customWidth="1"/>
    <col min="7942" max="8074" width="9.109375" style="737"/>
    <col min="8075" max="8075" width="5.88671875" style="737" customWidth="1"/>
    <col min="8076" max="8076" width="5.6640625" style="737" customWidth="1"/>
    <col min="8077" max="8077" width="35.5546875" style="737" customWidth="1"/>
    <col min="8078" max="8078" width="14.5546875" style="737" customWidth="1"/>
    <col min="8079" max="8079" width="14.44140625" style="737" customWidth="1"/>
    <col min="8080" max="8080" width="5.6640625" style="737" customWidth="1"/>
    <col min="8081" max="8081" width="14.5546875" style="737" customWidth="1"/>
    <col min="8082" max="8083" width="5.88671875" style="737" customWidth="1"/>
    <col min="8084" max="8084" width="26.6640625" style="737" customWidth="1"/>
    <col min="8085" max="8088" width="11.33203125" style="737" customWidth="1"/>
    <col min="8089" max="8089" width="5.5546875" style="737" customWidth="1"/>
    <col min="8090" max="8090" width="14.5546875" style="737" customWidth="1"/>
    <col min="8091" max="8091" width="5.6640625" style="737" customWidth="1"/>
    <col min="8092" max="8092" width="30.88671875" style="737" bestFit="1" customWidth="1"/>
    <col min="8093" max="8093" width="9.109375" style="737"/>
    <col min="8094" max="8094" width="10.88671875" style="737" bestFit="1" customWidth="1"/>
    <col min="8095" max="8095" width="42.44140625" style="737" customWidth="1"/>
    <col min="8096" max="8096" width="5.88671875" style="737" customWidth="1"/>
    <col min="8097" max="8097" width="14.44140625" style="737" customWidth="1"/>
    <col min="8098" max="8098" width="5.5546875" style="737" customWidth="1"/>
    <col min="8099" max="8099" width="16" style="737" bestFit="1" customWidth="1"/>
    <col min="8100" max="8105" width="10.33203125" style="737" customWidth="1"/>
    <col min="8106" max="8106" width="5.5546875" style="737" customWidth="1"/>
    <col min="8107" max="8107" width="9.5546875" style="737" customWidth="1"/>
    <col min="8108" max="8108" width="9.109375" style="737"/>
    <col min="8109" max="8109" width="5.44140625" style="737" customWidth="1"/>
    <col min="8110" max="8112" width="9.109375" style="737"/>
    <col min="8113" max="8113" width="5.44140625" style="737" customWidth="1"/>
    <col min="8114" max="8115" width="9.33203125" style="737" customWidth="1"/>
    <col min="8116" max="8116" width="5.44140625" style="737" customWidth="1"/>
    <col min="8117" max="8117" width="21.6640625" style="737" bestFit="1" customWidth="1"/>
    <col min="8118" max="8121" width="11.44140625" style="737" customWidth="1"/>
    <col min="8122" max="8122" width="5.44140625" style="737" customWidth="1"/>
    <col min="8123" max="8123" width="9.109375" style="737"/>
    <col min="8124" max="8124" width="5.5546875" style="737" customWidth="1"/>
    <col min="8125" max="8125" width="16.88671875" style="737" customWidth="1"/>
    <col min="8126" max="8128" width="14.5546875" style="737" customWidth="1"/>
    <col min="8129" max="8129" width="5.5546875" style="737" customWidth="1"/>
    <col min="8130" max="8131" width="9.109375" style="737"/>
    <col min="8132" max="8132" width="5.6640625" style="737" customWidth="1"/>
    <col min="8133" max="8133" width="9.109375" style="737"/>
    <col min="8134" max="8134" width="9" style="737" customWidth="1"/>
    <col min="8135" max="8135" width="9.44140625" style="737" bestFit="1" customWidth="1"/>
    <col min="8136" max="8136" width="10.44140625" style="737" bestFit="1" customWidth="1"/>
    <col min="8137" max="8140" width="9.44140625" style="737" bestFit="1" customWidth="1"/>
    <col min="8141" max="8141" width="5.6640625" style="737" customWidth="1"/>
    <col min="8142" max="8142" width="9.109375" style="737"/>
    <col min="8143" max="8143" width="5.6640625" style="737" customWidth="1"/>
    <col min="8144" max="8144" width="9.109375" style="737"/>
    <col min="8145" max="8145" width="9" style="737" customWidth="1"/>
    <col min="8146" max="8146" width="9.44140625" style="737" bestFit="1" customWidth="1"/>
    <col min="8147" max="8147" width="9.88671875" style="737" bestFit="1" customWidth="1"/>
    <col min="8148" max="8151" width="9.44140625" style="737" bestFit="1" customWidth="1"/>
    <col min="8152" max="8152" width="5.6640625" style="737" customWidth="1"/>
    <col min="8153" max="8153" width="9.109375" style="737"/>
    <col min="8154" max="8154" width="5.5546875" style="737" customWidth="1"/>
    <col min="8155" max="8155" width="16.44140625" style="737" customWidth="1"/>
    <col min="8156" max="8156" width="10.6640625" style="737" customWidth="1"/>
    <col min="8157" max="8162" width="9.5546875" style="737" customWidth="1"/>
    <col min="8163" max="8163" width="5.5546875" style="737" customWidth="1"/>
    <col min="8164" max="8165" width="9.109375" style="737"/>
    <col min="8166" max="8166" width="5.44140625" style="737" customWidth="1"/>
    <col min="8167" max="8167" width="8.109375" style="737" customWidth="1"/>
    <col min="8168" max="8168" width="9.33203125" style="737" customWidth="1"/>
    <col min="8169" max="8169" width="10.6640625" style="737" customWidth="1"/>
    <col min="8170" max="8170" width="9.33203125" style="737" customWidth="1"/>
    <col min="8171" max="8171" width="5.44140625" style="737" customWidth="1"/>
    <col min="8172" max="8172" width="9.109375" style="737"/>
    <col min="8173" max="8173" width="5.44140625" style="737" customWidth="1"/>
    <col min="8174" max="8176" width="9.44140625" style="737" customWidth="1"/>
    <col min="8177" max="8177" width="5.44140625" style="737" customWidth="1"/>
    <col min="8178" max="8179" width="9.109375" style="737"/>
    <col min="8180" max="8180" width="5.44140625" style="737" customWidth="1"/>
    <col min="8181" max="8181" width="13.5546875" style="737" customWidth="1"/>
    <col min="8182" max="8182" width="13.6640625" style="737" customWidth="1"/>
    <col min="8183" max="8183" width="13.5546875" style="737" customWidth="1"/>
    <col min="8184" max="8184" width="5.44140625" style="737" customWidth="1"/>
    <col min="8185" max="8186" width="9.109375" style="737"/>
    <col min="8187" max="8187" width="5.44140625" style="737" customWidth="1"/>
    <col min="8188" max="8188" width="11.109375" style="737" bestFit="1" customWidth="1"/>
    <col min="8189" max="8196" width="9.44140625" style="737" customWidth="1"/>
    <col min="8197" max="8197" width="5.44140625" style="737" customWidth="1"/>
    <col min="8198" max="8330" width="9.109375" style="737"/>
    <col min="8331" max="8331" width="5.88671875" style="737" customWidth="1"/>
    <col min="8332" max="8332" width="5.6640625" style="737" customWidth="1"/>
    <col min="8333" max="8333" width="35.5546875" style="737" customWidth="1"/>
    <col min="8334" max="8334" width="14.5546875" style="737" customWidth="1"/>
    <col min="8335" max="8335" width="14.44140625" style="737" customWidth="1"/>
    <col min="8336" max="8336" width="5.6640625" style="737" customWidth="1"/>
    <col min="8337" max="8337" width="14.5546875" style="737" customWidth="1"/>
    <col min="8338" max="8339" width="5.88671875" style="737" customWidth="1"/>
    <col min="8340" max="8340" width="26.6640625" style="737" customWidth="1"/>
    <col min="8341" max="8344" width="11.33203125" style="737" customWidth="1"/>
    <col min="8345" max="8345" width="5.5546875" style="737" customWidth="1"/>
    <col min="8346" max="8346" width="14.5546875" style="737" customWidth="1"/>
    <col min="8347" max="8347" width="5.6640625" style="737" customWidth="1"/>
    <col min="8348" max="8348" width="30.88671875" style="737" bestFit="1" customWidth="1"/>
    <col min="8349" max="8349" width="9.109375" style="737"/>
    <col min="8350" max="8350" width="10.88671875" style="737" bestFit="1" customWidth="1"/>
    <col min="8351" max="8351" width="42.44140625" style="737" customWidth="1"/>
    <col min="8352" max="8352" width="5.88671875" style="737" customWidth="1"/>
    <col min="8353" max="8353" width="14.44140625" style="737" customWidth="1"/>
    <col min="8354" max="8354" width="5.5546875" style="737" customWidth="1"/>
    <col min="8355" max="8355" width="16" style="737" bestFit="1" customWidth="1"/>
    <col min="8356" max="8361" width="10.33203125" style="737" customWidth="1"/>
    <col min="8362" max="8362" width="5.5546875" style="737" customWidth="1"/>
    <col min="8363" max="8363" width="9.5546875" style="737" customWidth="1"/>
    <col min="8364" max="8364" width="9.109375" style="737"/>
    <col min="8365" max="8365" width="5.44140625" style="737" customWidth="1"/>
    <col min="8366" max="8368" width="9.109375" style="737"/>
    <col min="8369" max="8369" width="5.44140625" style="737" customWidth="1"/>
    <col min="8370" max="8371" width="9.33203125" style="737" customWidth="1"/>
    <col min="8372" max="8372" width="5.44140625" style="737" customWidth="1"/>
    <col min="8373" max="8373" width="21.6640625" style="737" bestFit="1" customWidth="1"/>
    <col min="8374" max="8377" width="11.44140625" style="737" customWidth="1"/>
    <col min="8378" max="8378" width="5.44140625" style="737" customWidth="1"/>
    <col min="8379" max="8379" width="9.109375" style="737"/>
    <col min="8380" max="8380" width="5.5546875" style="737" customWidth="1"/>
    <col min="8381" max="8381" width="16.88671875" style="737" customWidth="1"/>
    <col min="8382" max="8384" width="14.5546875" style="737" customWidth="1"/>
    <col min="8385" max="8385" width="5.5546875" style="737" customWidth="1"/>
    <col min="8386" max="8387" width="9.109375" style="737"/>
    <col min="8388" max="8388" width="5.6640625" style="737" customWidth="1"/>
    <col min="8389" max="8389" width="9.109375" style="737"/>
    <col min="8390" max="8390" width="9" style="737" customWidth="1"/>
    <col min="8391" max="8391" width="9.44140625" style="737" bestFit="1" customWidth="1"/>
    <col min="8392" max="8392" width="10.44140625" style="737" bestFit="1" customWidth="1"/>
    <col min="8393" max="8396" width="9.44140625" style="737" bestFit="1" customWidth="1"/>
    <col min="8397" max="8397" width="5.6640625" style="737" customWidth="1"/>
    <col min="8398" max="8398" width="9.109375" style="737"/>
    <col min="8399" max="8399" width="5.6640625" style="737" customWidth="1"/>
    <col min="8400" max="8400" width="9.109375" style="737"/>
    <col min="8401" max="8401" width="9" style="737" customWidth="1"/>
    <col min="8402" max="8402" width="9.44140625" style="737" bestFit="1" customWidth="1"/>
    <col min="8403" max="8403" width="9.88671875" style="737" bestFit="1" customWidth="1"/>
    <col min="8404" max="8407" width="9.44140625" style="737" bestFit="1" customWidth="1"/>
    <col min="8408" max="8408" width="5.6640625" style="737" customWidth="1"/>
    <col min="8409" max="8409" width="9.109375" style="737"/>
    <col min="8410" max="8410" width="5.5546875" style="737" customWidth="1"/>
    <col min="8411" max="8411" width="16.44140625" style="737" customWidth="1"/>
    <col min="8412" max="8412" width="10.6640625" style="737" customWidth="1"/>
    <col min="8413" max="8418" width="9.5546875" style="737" customWidth="1"/>
    <col min="8419" max="8419" width="5.5546875" style="737" customWidth="1"/>
    <col min="8420" max="8421" width="9.109375" style="737"/>
    <col min="8422" max="8422" width="5.44140625" style="737" customWidth="1"/>
    <col min="8423" max="8423" width="8.109375" style="737" customWidth="1"/>
    <col min="8424" max="8424" width="9.33203125" style="737" customWidth="1"/>
    <col min="8425" max="8425" width="10.6640625" style="737" customWidth="1"/>
    <col min="8426" max="8426" width="9.33203125" style="737" customWidth="1"/>
    <col min="8427" max="8427" width="5.44140625" style="737" customWidth="1"/>
    <col min="8428" max="8428" width="9.109375" style="737"/>
    <col min="8429" max="8429" width="5.44140625" style="737" customWidth="1"/>
    <col min="8430" max="8432" width="9.44140625" style="737" customWidth="1"/>
    <col min="8433" max="8433" width="5.44140625" style="737" customWidth="1"/>
    <col min="8434" max="8435" width="9.109375" style="737"/>
    <col min="8436" max="8436" width="5.44140625" style="737" customWidth="1"/>
    <col min="8437" max="8437" width="13.5546875" style="737" customWidth="1"/>
    <col min="8438" max="8438" width="13.6640625" style="737" customWidth="1"/>
    <col min="8439" max="8439" width="13.5546875" style="737" customWidth="1"/>
    <col min="8440" max="8440" width="5.44140625" style="737" customWidth="1"/>
    <col min="8441" max="8442" width="9.109375" style="737"/>
    <col min="8443" max="8443" width="5.44140625" style="737" customWidth="1"/>
    <col min="8444" max="8444" width="11.109375" style="737" bestFit="1" customWidth="1"/>
    <col min="8445" max="8452" width="9.44140625" style="737" customWidth="1"/>
    <col min="8453" max="8453" width="5.44140625" style="737" customWidth="1"/>
    <col min="8454" max="8586" width="9.109375" style="737"/>
    <col min="8587" max="8587" width="5.88671875" style="737" customWidth="1"/>
    <col min="8588" max="8588" width="5.6640625" style="737" customWidth="1"/>
    <col min="8589" max="8589" width="35.5546875" style="737" customWidth="1"/>
    <col min="8590" max="8590" width="14.5546875" style="737" customWidth="1"/>
    <col min="8591" max="8591" width="14.44140625" style="737" customWidth="1"/>
    <col min="8592" max="8592" width="5.6640625" style="737" customWidth="1"/>
    <col min="8593" max="8593" width="14.5546875" style="737" customWidth="1"/>
    <col min="8594" max="8595" width="5.88671875" style="737" customWidth="1"/>
    <col min="8596" max="8596" width="26.6640625" style="737" customWidth="1"/>
    <col min="8597" max="8600" width="11.33203125" style="737" customWidth="1"/>
    <col min="8601" max="8601" width="5.5546875" style="737" customWidth="1"/>
    <col min="8602" max="8602" width="14.5546875" style="737" customWidth="1"/>
    <col min="8603" max="8603" width="5.6640625" style="737" customWidth="1"/>
    <col min="8604" max="8604" width="30.88671875" style="737" bestFit="1" customWidth="1"/>
    <col min="8605" max="8605" width="9.109375" style="737"/>
    <col min="8606" max="8606" width="10.88671875" style="737" bestFit="1" customWidth="1"/>
    <col min="8607" max="8607" width="42.44140625" style="737" customWidth="1"/>
    <col min="8608" max="8608" width="5.88671875" style="737" customWidth="1"/>
    <col min="8609" max="8609" width="14.44140625" style="737" customWidth="1"/>
    <col min="8610" max="8610" width="5.5546875" style="737" customWidth="1"/>
    <col min="8611" max="8611" width="16" style="737" bestFit="1" customWidth="1"/>
    <col min="8612" max="8617" width="10.33203125" style="737" customWidth="1"/>
    <col min="8618" max="8618" width="5.5546875" style="737" customWidth="1"/>
    <col min="8619" max="8619" width="9.5546875" style="737" customWidth="1"/>
    <col min="8620" max="8620" width="9.109375" style="737"/>
    <col min="8621" max="8621" width="5.44140625" style="737" customWidth="1"/>
    <col min="8622" max="8624" width="9.109375" style="737"/>
    <col min="8625" max="8625" width="5.44140625" style="737" customWidth="1"/>
    <col min="8626" max="8627" width="9.33203125" style="737" customWidth="1"/>
    <col min="8628" max="8628" width="5.44140625" style="737" customWidth="1"/>
    <col min="8629" max="8629" width="21.6640625" style="737" bestFit="1" customWidth="1"/>
    <col min="8630" max="8633" width="11.44140625" style="737" customWidth="1"/>
    <col min="8634" max="8634" width="5.44140625" style="737" customWidth="1"/>
    <col min="8635" max="8635" width="9.109375" style="737"/>
    <col min="8636" max="8636" width="5.5546875" style="737" customWidth="1"/>
    <col min="8637" max="8637" width="16.88671875" style="737" customWidth="1"/>
    <col min="8638" max="8640" width="14.5546875" style="737" customWidth="1"/>
    <col min="8641" max="8641" width="5.5546875" style="737" customWidth="1"/>
    <col min="8642" max="8643" width="9.109375" style="737"/>
    <col min="8644" max="8644" width="5.6640625" style="737" customWidth="1"/>
    <col min="8645" max="8645" width="9.109375" style="737"/>
    <col min="8646" max="8646" width="9" style="737" customWidth="1"/>
    <col min="8647" max="8647" width="9.44140625" style="737" bestFit="1" customWidth="1"/>
    <col min="8648" max="8648" width="10.44140625" style="737" bestFit="1" customWidth="1"/>
    <col min="8649" max="8652" width="9.44140625" style="737" bestFit="1" customWidth="1"/>
    <col min="8653" max="8653" width="5.6640625" style="737" customWidth="1"/>
    <col min="8654" max="8654" width="9.109375" style="737"/>
    <col min="8655" max="8655" width="5.6640625" style="737" customWidth="1"/>
    <col min="8656" max="8656" width="9.109375" style="737"/>
    <col min="8657" max="8657" width="9" style="737" customWidth="1"/>
    <col min="8658" max="8658" width="9.44140625" style="737" bestFit="1" customWidth="1"/>
    <col min="8659" max="8659" width="9.88671875" style="737" bestFit="1" customWidth="1"/>
    <col min="8660" max="8663" width="9.44140625" style="737" bestFit="1" customWidth="1"/>
    <col min="8664" max="8664" width="5.6640625" style="737" customWidth="1"/>
    <col min="8665" max="8665" width="9.109375" style="737"/>
    <col min="8666" max="8666" width="5.5546875" style="737" customWidth="1"/>
    <col min="8667" max="8667" width="16.44140625" style="737" customWidth="1"/>
    <col min="8668" max="8668" width="10.6640625" style="737" customWidth="1"/>
    <col min="8669" max="8674" width="9.5546875" style="737" customWidth="1"/>
    <col min="8675" max="8675" width="5.5546875" style="737" customWidth="1"/>
    <col min="8676" max="8677" width="9.109375" style="737"/>
    <col min="8678" max="8678" width="5.44140625" style="737" customWidth="1"/>
    <col min="8679" max="8679" width="8.109375" style="737" customWidth="1"/>
    <col min="8680" max="8680" width="9.33203125" style="737" customWidth="1"/>
    <col min="8681" max="8681" width="10.6640625" style="737" customWidth="1"/>
    <col min="8682" max="8682" width="9.33203125" style="737" customWidth="1"/>
    <col min="8683" max="8683" width="5.44140625" style="737" customWidth="1"/>
    <col min="8684" max="8684" width="9.109375" style="737"/>
    <col min="8685" max="8685" width="5.44140625" style="737" customWidth="1"/>
    <col min="8686" max="8688" width="9.44140625" style="737" customWidth="1"/>
    <col min="8689" max="8689" width="5.44140625" style="737" customWidth="1"/>
    <col min="8690" max="8691" width="9.109375" style="737"/>
    <col min="8692" max="8692" width="5.44140625" style="737" customWidth="1"/>
    <col min="8693" max="8693" width="13.5546875" style="737" customWidth="1"/>
    <col min="8694" max="8694" width="13.6640625" style="737" customWidth="1"/>
    <col min="8695" max="8695" width="13.5546875" style="737" customWidth="1"/>
    <col min="8696" max="8696" width="5.44140625" style="737" customWidth="1"/>
    <col min="8697" max="8698" width="9.109375" style="737"/>
    <col min="8699" max="8699" width="5.44140625" style="737" customWidth="1"/>
    <col min="8700" max="8700" width="11.109375" style="737" bestFit="1" customWidth="1"/>
    <col min="8701" max="8708" width="9.44140625" style="737" customWidth="1"/>
    <col min="8709" max="8709" width="5.44140625" style="737" customWidth="1"/>
    <col min="8710" max="8842" width="9.109375" style="737"/>
    <col min="8843" max="8843" width="5.88671875" style="737" customWidth="1"/>
    <col min="8844" max="8844" width="5.6640625" style="737" customWidth="1"/>
    <col min="8845" max="8845" width="35.5546875" style="737" customWidth="1"/>
    <col min="8846" max="8846" width="14.5546875" style="737" customWidth="1"/>
    <col min="8847" max="8847" width="14.44140625" style="737" customWidth="1"/>
    <col min="8848" max="8848" width="5.6640625" style="737" customWidth="1"/>
    <col min="8849" max="8849" width="14.5546875" style="737" customWidth="1"/>
    <col min="8850" max="8851" width="5.88671875" style="737" customWidth="1"/>
    <col min="8852" max="8852" width="26.6640625" style="737" customWidth="1"/>
    <col min="8853" max="8856" width="11.33203125" style="737" customWidth="1"/>
    <col min="8857" max="8857" width="5.5546875" style="737" customWidth="1"/>
    <col min="8858" max="8858" width="14.5546875" style="737" customWidth="1"/>
    <col min="8859" max="8859" width="5.6640625" style="737" customWidth="1"/>
    <col min="8860" max="8860" width="30.88671875" style="737" bestFit="1" customWidth="1"/>
    <col min="8861" max="8861" width="9.109375" style="737"/>
    <col min="8862" max="8862" width="10.88671875" style="737" bestFit="1" customWidth="1"/>
    <col min="8863" max="8863" width="42.44140625" style="737" customWidth="1"/>
    <col min="8864" max="8864" width="5.88671875" style="737" customWidth="1"/>
    <col min="8865" max="8865" width="14.44140625" style="737" customWidth="1"/>
    <col min="8866" max="8866" width="5.5546875" style="737" customWidth="1"/>
    <col min="8867" max="8867" width="16" style="737" bestFit="1" customWidth="1"/>
    <col min="8868" max="8873" width="10.33203125" style="737" customWidth="1"/>
    <col min="8874" max="8874" width="5.5546875" style="737" customWidth="1"/>
    <col min="8875" max="8875" width="9.5546875" style="737" customWidth="1"/>
    <col min="8876" max="8876" width="9.109375" style="737"/>
    <col min="8877" max="8877" width="5.44140625" style="737" customWidth="1"/>
    <col min="8878" max="8880" width="9.109375" style="737"/>
    <col min="8881" max="8881" width="5.44140625" style="737" customWidth="1"/>
    <col min="8882" max="8883" width="9.33203125" style="737" customWidth="1"/>
    <col min="8884" max="8884" width="5.44140625" style="737" customWidth="1"/>
    <col min="8885" max="8885" width="21.6640625" style="737" bestFit="1" customWidth="1"/>
    <col min="8886" max="8889" width="11.44140625" style="737" customWidth="1"/>
    <col min="8890" max="8890" width="5.44140625" style="737" customWidth="1"/>
    <col min="8891" max="8891" width="9.109375" style="737"/>
    <col min="8892" max="8892" width="5.5546875" style="737" customWidth="1"/>
    <col min="8893" max="8893" width="16.88671875" style="737" customWidth="1"/>
    <col min="8894" max="8896" width="14.5546875" style="737" customWidth="1"/>
    <col min="8897" max="8897" width="5.5546875" style="737" customWidth="1"/>
    <col min="8898" max="8899" width="9.109375" style="737"/>
    <col min="8900" max="8900" width="5.6640625" style="737" customWidth="1"/>
    <col min="8901" max="8901" width="9.109375" style="737"/>
    <col min="8902" max="8902" width="9" style="737" customWidth="1"/>
    <col min="8903" max="8903" width="9.44140625" style="737" bestFit="1" customWidth="1"/>
    <col min="8904" max="8904" width="10.44140625" style="737" bestFit="1" customWidth="1"/>
    <col min="8905" max="8908" width="9.44140625" style="737" bestFit="1" customWidth="1"/>
    <col min="8909" max="8909" width="5.6640625" style="737" customWidth="1"/>
    <col min="8910" max="8910" width="9.109375" style="737"/>
    <col min="8911" max="8911" width="5.6640625" style="737" customWidth="1"/>
    <col min="8912" max="8912" width="9.109375" style="737"/>
    <col min="8913" max="8913" width="9" style="737" customWidth="1"/>
    <col min="8914" max="8914" width="9.44140625" style="737" bestFit="1" customWidth="1"/>
    <col min="8915" max="8915" width="9.88671875" style="737" bestFit="1" customWidth="1"/>
    <col min="8916" max="8919" width="9.44140625" style="737" bestFit="1" customWidth="1"/>
    <col min="8920" max="8920" width="5.6640625" style="737" customWidth="1"/>
    <col min="8921" max="8921" width="9.109375" style="737"/>
    <col min="8922" max="8922" width="5.5546875" style="737" customWidth="1"/>
    <col min="8923" max="8923" width="16.44140625" style="737" customWidth="1"/>
    <col min="8924" max="8924" width="10.6640625" style="737" customWidth="1"/>
    <col min="8925" max="8930" width="9.5546875" style="737" customWidth="1"/>
    <col min="8931" max="8931" width="5.5546875" style="737" customWidth="1"/>
    <col min="8932" max="8933" width="9.109375" style="737"/>
    <col min="8934" max="8934" width="5.44140625" style="737" customWidth="1"/>
    <col min="8935" max="8935" width="8.109375" style="737" customWidth="1"/>
    <col min="8936" max="8936" width="9.33203125" style="737" customWidth="1"/>
    <col min="8937" max="8937" width="10.6640625" style="737" customWidth="1"/>
    <col min="8938" max="8938" width="9.33203125" style="737" customWidth="1"/>
    <col min="8939" max="8939" width="5.44140625" style="737" customWidth="1"/>
    <col min="8940" max="8940" width="9.109375" style="737"/>
    <col min="8941" max="8941" width="5.44140625" style="737" customWidth="1"/>
    <col min="8942" max="8944" width="9.44140625" style="737" customWidth="1"/>
    <col min="8945" max="8945" width="5.44140625" style="737" customWidth="1"/>
    <col min="8946" max="8947" width="9.109375" style="737"/>
    <col min="8948" max="8948" width="5.44140625" style="737" customWidth="1"/>
    <col min="8949" max="8949" width="13.5546875" style="737" customWidth="1"/>
    <col min="8950" max="8950" width="13.6640625" style="737" customWidth="1"/>
    <col min="8951" max="8951" width="13.5546875" style="737" customWidth="1"/>
    <col min="8952" max="8952" width="5.44140625" style="737" customWidth="1"/>
    <col min="8953" max="8954" width="9.109375" style="737"/>
    <col min="8955" max="8955" width="5.44140625" style="737" customWidth="1"/>
    <col min="8956" max="8956" width="11.109375" style="737" bestFit="1" customWidth="1"/>
    <col min="8957" max="8964" width="9.44140625" style="737" customWidth="1"/>
    <col min="8965" max="8965" width="5.44140625" style="737" customWidth="1"/>
    <col min="8966" max="9098" width="9.109375" style="737"/>
    <col min="9099" max="9099" width="5.88671875" style="737" customWidth="1"/>
    <col min="9100" max="9100" width="5.6640625" style="737" customWidth="1"/>
    <col min="9101" max="9101" width="35.5546875" style="737" customWidth="1"/>
    <col min="9102" max="9102" width="14.5546875" style="737" customWidth="1"/>
    <col min="9103" max="9103" width="14.44140625" style="737" customWidth="1"/>
    <col min="9104" max="9104" width="5.6640625" style="737" customWidth="1"/>
    <col min="9105" max="9105" width="14.5546875" style="737" customWidth="1"/>
    <col min="9106" max="9107" width="5.88671875" style="737" customWidth="1"/>
    <col min="9108" max="9108" width="26.6640625" style="737" customWidth="1"/>
    <col min="9109" max="9112" width="11.33203125" style="737" customWidth="1"/>
    <col min="9113" max="9113" width="5.5546875" style="737" customWidth="1"/>
    <col min="9114" max="9114" width="14.5546875" style="737" customWidth="1"/>
    <col min="9115" max="9115" width="5.6640625" style="737" customWidth="1"/>
    <col min="9116" max="9116" width="30.88671875" style="737" bestFit="1" customWidth="1"/>
    <col min="9117" max="9117" width="9.109375" style="737"/>
    <col min="9118" max="9118" width="10.88671875" style="737" bestFit="1" customWidth="1"/>
    <col min="9119" max="9119" width="42.44140625" style="737" customWidth="1"/>
    <col min="9120" max="9120" width="5.88671875" style="737" customWidth="1"/>
    <col min="9121" max="9121" width="14.44140625" style="737" customWidth="1"/>
    <col min="9122" max="9122" width="5.5546875" style="737" customWidth="1"/>
    <col min="9123" max="9123" width="16" style="737" bestFit="1" customWidth="1"/>
    <col min="9124" max="9129" width="10.33203125" style="737" customWidth="1"/>
    <col min="9130" max="9130" width="5.5546875" style="737" customWidth="1"/>
    <col min="9131" max="9131" width="9.5546875" style="737" customWidth="1"/>
    <col min="9132" max="9132" width="9.109375" style="737"/>
    <col min="9133" max="9133" width="5.44140625" style="737" customWidth="1"/>
    <col min="9134" max="9136" width="9.109375" style="737"/>
    <col min="9137" max="9137" width="5.44140625" style="737" customWidth="1"/>
    <col min="9138" max="9139" width="9.33203125" style="737" customWidth="1"/>
    <col min="9140" max="9140" width="5.44140625" style="737" customWidth="1"/>
    <col min="9141" max="9141" width="21.6640625" style="737" bestFit="1" customWidth="1"/>
    <col min="9142" max="9145" width="11.44140625" style="737" customWidth="1"/>
    <col min="9146" max="9146" width="5.44140625" style="737" customWidth="1"/>
    <col min="9147" max="9147" width="9.109375" style="737"/>
    <col min="9148" max="9148" width="5.5546875" style="737" customWidth="1"/>
    <col min="9149" max="9149" width="16.88671875" style="737" customWidth="1"/>
    <col min="9150" max="9152" width="14.5546875" style="737" customWidth="1"/>
    <col min="9153" max="9153" width="5.5546875" style="737" customWidth="1"/>
    <col min="9154" max="9155" width="9.109375" style="737"/>
    <col min="9156" max="9156" width="5.6640625" style="737" customWidth="1"/>
    <col min="9157" max="9157" width="9.109375" style="737"/>
    <col min="9158" max="9158" width="9" style="737" customWidth="1"/>
    <col min="9159" max="9159" width="9.44140625" style="737" bestFit="1" customWidth="1"/>
    <col min="9160" max="9160" width="10.44140625" style="737" bestFit="1" customWidth="1"/>
    <col min="9161" max="9164" width="9.44140625" style="737" bestFit="1" customWidth="1"/>
    <col min="9165" max="9165" width="5.6640625" style="737" customWidth="1"/>
    <col min="9166" max="9166" width="9.109375" style="737"/>
    <col min="9167" max="9167" width="5.6640625" style="737" customWidth="1"/>
    <col min="9168" max="9168" width="9.109375" style="737"/>
    <col min="9169" max="9169" width="9" style="737" customWidth="1"/>
    <col min="9170" max="9170" width="9.44140625" style="737" bestFit="1" customWidth="1"/>
    <col min="9171" max="9171" width="9.88671875" style="737" bestFit="1" customWidth="1"/>
    <col min="9172" max="9175" width="9.44140625" style="737" bestFit="1" customWidth="1"/>
    <col min="9176" max="9176" width="5.6640625" style="737" customWidth="1"/>
    <col min="9177" max="9177" width="9.109375" style="737"/>
    <col min="9178" max="9178" width="5.5546875" style="737" customWidth="1"/>
    <col min="9179" max="9179" width="16.44140625" style="737" customWidth="1"/>
    <col min="9180" max="9180" width="10.6640625" style="737" customWidth="1"/>
    <col min="9181" max="9186" width="9.5546875" style="737" customWidth="1"/>
    <col min="9187" max="9187" width="5.5546875" style="737" customWidth="1"/>
    <col min="9188" max="9189" width="9.109375" style="737"/>
    <col min="9190" max="9190" width="5.44140625" style="737" customWidth="1"/>
    <col min="9191" max="9191" width="8.109375" style="737" customWidth="1"/>
    <col min="9192" max="9192" width="9.33203125" style="737" customWidth="1"/>
    <col min="9193" max="9193" width="10.6640625" style="737" customWidth="1"/>
    <col min="9194" max="9194" width="9.33203125" style="737" customWidth="1"/>
    <col min="9195" max="9195" width="5.44140625" style="737" customWidth="1"/>
    <col min="9196" max="9196" width="9.109375" style="737"/>
    <col min="9197" max="9197" width="5.44140625" style="737" customWidth="1"/>
    <col min="9198" max="9200" width="9.44140625" style="737" customWidth="1"/>
    <col min="9201" max="9201" width="5.44140625" style="737" customWidth="1"/>
    <col min="9202" max="9203" width="9.109375" style="737"/>
    <col min="9204" max="9204" width="5.44140625" style="737" customWidth="1"/>
    <col min="9205" max="9205" width="13.5546875" style="737" customWidth="1"/>
    <col min="9206" max="9206" width="13.6640625" style="737" customWidth="1"/>
    <col min="9207" max="9207" width="13.5546875" style="737" customWidth="1"/>
    <col min="9208" max="9208" width="5.44140625" style="737" customWidth="1"/>
    <col min="9209" max="9210" width="9.109375" style="737"/>
    <col min="9211" max="9211" width="5.44140625" style="737" customWidth="1"/>
    <col min="9212" max="9212" width="11.109375" style="737" bestFit="1" customWidth="1"/>
    <col min="9213" max="9220" width="9.44140625" style="737" customWidth="1"/>
    <col min="9221" max="9221" width="5.44140625" style="737" customWidth="1"/>
    <col min="9222" max="9354" width="9.109375" style="737"/>
    <col min="9355" max="9355" width="5.88671875" style="737" customWidth="1"/>
    <col min="9356" max="9356" width="5.6640625" style="737" customWidth="1"/>
    <col min="9357" max="9357" width="35.5546875" style="737" customWidth="1"/>
    <col min="9358" max="9358" width="14.5546875" style="737" customWidth="1"/>
    <col min="9359" max="9359" width="14.44140625" style="737" customWidth="1"/>
    <col min="9360" max="9360" width="5.6640625" style="737" customWidth="1"/>
    <col min="9361" max="9361" width="14.5546875" style="737" customWidth="1"/>
    <col min="9362" max="9363" width="5.88671875" style="737" customWidth="1"/>
    <col min="9364" max="9364" width="26.6640625" style="737" customWidth="1"/>
    <col min="9365" max="9368" width="11.33203125" style="737" customWidth="1"/>
    <col min="9369" max="9369" width="5.5546875" style="737" customWidth="1"/>
    <col min="9370" max="9370" width="14.5546875" style="737" customWidth="1"/>
    <col min="9371" max="9371" width="5.6640625" style="737" customWidth="1"/>
    <col min="9372" max="9372" width="30.88671875" style="737" bestFit="1" customWidth="1"/>
    <col min="9373" max="9373" width="9.109375" style="737"/>
    <col min="9374" max="9374" width="10.88671875" style="737" bestFit="1" customWidth="1"/>
    <col min="9375" max="9375" width="42.44140625" style="737" customWidth="1"/>
    <col min="9376" max="9376" width="5.88671875" style="737" customWidth="1"/>
    <col min="9377" max="9377" width="14.44140625" style="737" customWidth="1"/>
    <col min="9378" max="9378" width="5.5546875" style="737" customWidth="1"/>
    <col min="9379" max="9379" width="16" style="737" bestFit="1" customWidth="1"/>
    <col min="9380" max="9385" width="10.33203125" style="737" customWidth="1"/>
    <col min="9386" max="9386" width="5.5546875" style="737" customWidth="1"/>
    <col min="9387" max="9387" width="9.5546875" style="737" customWidth="1"/>
    <col min="9388" max="9388" width="9.109375" style="737"/>
    <col min="9389" max="9389" width="5.44140625" style="737" customWidth="1"/>
    <col min="9390" max="9392" width="9.109375" style="737"/>
    <col min="9393" max="9393" width="5.44140625" style="737" customWidth="1"/>
    <col min="9394" max="9395" width="9.33203125" style="737" customWidth="1"/>
    <col min="9396" max="9396" width="5.44140625" style="737" customWidth="1"/>
    <col min="9397" max="9397" width="21.6640625" style="737" bestFit="1" customWidth="1"/>
    <col min="9398" max="9401" width="11.44140625" style="737" customWidth="1"/>
    <col min="9402" max="9402" width="5.44140625" style="737" customWidth="1"/>
    <col min="9403" max="9403" width="9.109375" style="737"/>
    <col min="9404" max="9404" width="5.5546875" style="737" customWidth="1"/>
    <col min="9405" max="9405" width="16.88671875" style="737" customWidth="1"/>
    <col min="9406" max="9408" width="14.5546875" style="737" customWidth="1"/>
    <col min="9409" max="9409" width="5.5546875" style="737" customWidth="1"/>
    <col min="9410" max="9411" width="9.109375" style="737"/>
    <col min="9412" max="9412" width="5.6640625" style="737" customWidth="1"/>
    <col min="9413" max="9413" width="9.109375" style="737"/>
    <col min="9414" max="9414" width="9" style="737" customWidth="1"/>
    <col min="9415" max="9415" width="9.44140625" style="737" bestFit="1" customWidth="1"/>
    <col min="9416" max="9416" width="10.44140625" style="737" bestFit="1" customWidth="1"/>
    <col min="9417" max="9420" width="9.44140625" style="737" bestFit="1" customWidth="1"/>
    <col min="9421" max="9421" width="5.6640625" style="737" customWidth="1"/>
    <col min="9422" max="9422" width="9.109375" style="737"/>
    <col min="9423" max="9423" width="5.6640625" style="737" customWidth="1"/>
    <col min="9424" max="9424" width="9.109375" style="737"/>
    <col min="9425" max="9425" width="9" style="737" customWidth="1"/>
    <col min="9426" max="9426" width="9.44140625" style="737" bestFit="1" customWidth="1"/>
    <col min="9427" max="9427" width="9.88671875" style="737" bestFit="1" customWidth="1"/>
    <col min="9428" max="9431" width="9.44140625" style="737" bestFit="1" customWidth="1"/>
    <col min="9432" max="9432" width="5.6640625" style="737" customWidth="1"/>
    <col min="9433" max="9433" width="9.109375" style="737"/>
    <col min="9434" max="9434" width="5.5546875" style="737" customWidth="1"/>
    <col min="9435" max="9435" width="16.44140625" style="737" customWidth="1"/>
    <col min="9436" max="9436" width="10.6640625" style="737" customWidth="1"/>
    <col min="9437" max="9442" width="9.5546875" style="737" customWidth="1"/>
    <col min="9443" max="9443" width="5.5546875" style="737" customWidth="1"/>
    <col min="9444" max="9445" width="9.109375" style="737"/>
    <col min="9446" max="9446" width="5.44140625" style="737" customWidth="1"/>
    <col min="9447" max="9447" width="8.109375" style="737" customWidth="1"/>
    <col min="9448" max="9448" width="9.33203125" style="737" customWidth="1"/>
    <col min="9449" max="9449" width="10.6640625" style="737" customWidth="1"/>
    <col min="9450" max="9450" width="9.33203125" style="737" customWidth="1"/>
    <col min="9451" max="9451" width="5.44140625" style="737" customWidth="1"/>
    <col min="9452" max="9452" width="9.109375" style="737"/>
    <col min="9453" max="9453" width="5.44140625" style="737" customWidth="1"/>
    <col min="9454" max="9456" width="9.44140625" style="737" customWidth="1"/>
    <col min="9457" max="9457" width="5.44140625" style="737" customWidth="1"/>
    <col min="9458" max="9459" width="9.109375" style="737"/>
    <col min="9460" max="9460" width="5.44140625" style="737" customWidth="1"/>
    <col min="9461" max="9461" width="13.5546875" style="737" customWidth="1"/>
    <col min="9462" max="9462" width="13.6640625" style="737" customWidth="1"/>
    <col min="9463" max="9463" width="13.5546875" style="737" customWidth="1"/>
    <col min="9464" max="9464" width="5.44140625" style="737" customWidth="1"/>
    <col min="9465" max="9466" width="9.109375" style="737"/>
    <col min="9467" max="9467" width="5.44140625" style="737" customWidth="1"/>
    <col min="9468" max="9468" width="11.109375" style="737" bestFit="1" customWidth="1"/>
    <col min="9469" max="9476" width="9.44140625" style="737" customWidth="1"/>
    <col min="9477" max="9477" width="5.44140625" style="737" customWidth="1"/>
    <col min="9478" max="9610" width="9.109375" style="737"/>
    <col min="9611" max="9611" width="5.88671875" style="737" customWidth="1"/>
    <col min="9612" max="9612" width="5.6640625" style="737" customWidth="1"/>
    <col min="9613" max="9613" width="35.5546875" style="737" customWidth="1"/>
    <col min="9614" max="9614" width="14.5546875" style="737" customWidth="1"/>
    <col min="9615" max="9615" width="14.44140625" style="737" customWidth="1"/>
    <col min="9616" max="9616" width="5.6640625" style="737" customWidth="1"/>
    <col min="9617" max="9617" width="14.5546875" style="737" customWidth="1"/>
    <col min="9618" max="9619" width="5.88671875" style="737" customWidth="1"/>
    <col min="9620" max="9620" width="26.6640625" style="737" customWidth="1"/>
    <col min="9621" max="9624" width="11.33203125" style="737" customWidth="1"/>
    <col min="9625" max="9625" width="5.5546875" style="737" customWidth="1"/>
    <col min="9626" max="9626" width="14.5546875" style="737" customWidth="1"/>
    <col min="9627" max="9627" width="5.6640625" style="737" customWidth="1"/>
    <col min="9628" max="9628" width="30.88671875" style="737" bestFit="1" customWidth="1"/>
    <col min="9629" max="9629" width="9.109375" style="737"/>
    <col min="9630" max="9630" width="10.88671875" style="737" bestFit="1" customWidth="1"/>
    <col min="9631" max="9631" width="42.44140625" style="737" customWidth="1"/>
    <col min="9632" max="9632" width="5.88671875" style="737" customWidth="1"/>
    <col min="9633" max="9633" width="14.44140625" style="737" customWidth="1"/>
    <col min="9634" max="9634" width="5.5546875" style="737" customWidth="1"/>
    <col min="9635" max="9635" width="16" style="737" bestFit="1" customWidth="1"/>
    <col min="9636" max="9641" width="10.33203125" style="737" customWidth="1"/>
    <col min="9642" max="9642" width="5.5546875" style="737" customWidth="1"/>
    <col min="9643" max="9643" width="9.5546875" style="737" customWidth="1"/>
    <col min="9644" max="9644" width="9.109375" style="737"/>
    <col min="9645" max="9645" width="5.44140625" style="737" customWidth="1"/>
    <col min="9646" max="9648" width="9.109375" style="737"/>
    <col min="9649" max="9649" width="5.44140625" style="737" customWidth="1"/>
    <col min="9650" max="9651" width="9.33203125" style="737" customWidth="1"/>
    <col min="9652" max="9652" width="5.44140625" style="737" customWidth="1"/>
    <col min="9653" max="9653" width="21.6640625" style="737" bestFit="1" customWidth="1"/>
    <col min="9654" max="9657" width="11.44140625" style="737" customWidth="1"/>
    <col min="9658" max="9658" width="5.44140625" style="737" customWidth="1"/>
    <col min="9659" max="9659" width="9.109375" style="737"/>
    <col min="9660" max="9660" width="5.5546875" style="737" customWidth="1"/>
    <col min="9661" max="9661" width="16.88671875" style="737" customWidth="1"/>
    <col min="9662" max="9664" width="14.5546875" style="737" customWidth="1"/>
    <col min="9665" max="9665" width="5.5546875" style="737" customWidth="1"/>
    <col min="9666" max="9667" width="9.109375" style="737"/>
    <col min="9668" max="9668" width="5.6640625" style="737" customWidth="1"/>
    <col min="9669" max="9669" width="9.109375" style="737"/>
    <col min="9670" max="9670" width="9" style="737" customWidth="1"/>
    <col min="9671" max="9671" width="9.44140625" style="737" bestFit="1" customWidth="1"/>
    <col min="9672" max="9672" width="10.44140625" style="737" bestFit="1" customWidth="1"/>
    <col min="9673" max="9676" width="9.44140625" style="737" bestFit="1" customWidth="1"/>
    <col min="9677" max="9677" width="5.6640625" style="737" customWidth="1"/>
    <col min="9678" max="9678" width="9.109375" style="737"/>
    <col min="9679" max="9679" width="5.6640625" style="737" customWidth="1"/>
    <col min="9680" max="9680" width="9.109375" style="737"/>
    <col min="9681" max="9681" width="9" style="737" customWidth="1"/>
    <col min="9682" max="9682" width="9.44140625" style="737" bestFit="1" customWidth="1"/>
    <col min="9683" max="9683" width="9.88671875" style="737" bestFit="1" customWidth="1"/>
    <col min="9684" max="9687" width="9.44140625" style="737" bestFit="1" customWidth="1"/>
    <col min="9688" max="9688" width="5.6640625" style="737" customWidth="1"/>
    <col min="9689" max="9689" width="9.109375" style="737"/>
    <col min="9690" max="9690" width="5.5546875" style="737" customWidth="1"/>
    <col min="9691" max="9691" width="16.44140625" style="737" customWidth="1"/>
    <col min="9692" max="9692" width="10.6640625" style="737" customWidth="1"/>
    <col min="9693" max="9698" width="9.5546875" style="737" customWidth="1"/>
    <col min="9699" max="9699" width="5.5546875" style="737" customWidth="1"/>
    <col min="9700" max="9701" width="9.109375" style="737"/>
    <col min="9702" max="9702" width="5.44140625" style="737" customWidth="1"/>
    <col min="9703" max="9703" width="8.109375" style="737" customWidth="1"/>
    <col min="9704" max="9704" width="9.33203125" style="737" customWidth="1"/>
    <col min="9705" max="9705" width="10.6640625" style="737" customWidth="1"/>
    <col min="9706" max="9706" width="9.33203125" style="737" customWidth="1"/>
    <col min="9707" max="9707" width="5.44140625" style="737" customWidth="1"/>
    <col min="9708" max="9708" width="9.109375" style="737"/>
    <col min="9709" max="9709" width="5.44140625" style="737" customWidth="1"/>
    <col min="9710" max="9712" width="9.44140625" style="737" customWidth="1"/>
    <col min="9713" max="9713" width="5.44140625" style="737" customWidth="1"/>
    <col min="9714" max="9715" width="9.109375" style="737"/>
    <col min="9716" max="9716" width="5.44140625" style="737" customWidth="1"/>
    <col min="9717" max="9717" width="13.5546875" style="737" customWidth="1"/>
    <col min="9718" max="9718" width="13.6640625" style="737" customWidth="1"/>
    <col min="9719" max="9719" width="13.5546875" style="737" customWidth="1"/>
    <col min="9720" max="9720" width="5.44140625" style="737" customWidth="1"/>
    <col min="9721" max="9722" width="9.109375" style="737"/>
    <col min="9723" max="9723" width="5.44140625" style="737" customWidth="1"/>
    <col min="9724" max="9724" width="11.109375" style="737" bestFit="1" customWidth="1"/>
    <col min="9725" max="9732" width="9.44140625" style="737" customWidth="1"/>
    <col min="9733" max="9733" width="5.44140625" style="737" customWidth="1"/>
    <col min="9734" max="9866" width="9.109375" style="737"/>
    <col min="9867" max="9867" width="5.88671875" style="737" customWidth="1"/>
    <col min="9868" max="9868" width="5.6640625" style="737" customWidth="1"/>
    <col min="9869" max="9869" width="35.5546875" style="737" customWidth="1"/>
    <col min="9870" max="9870" width="14.5546875" style="737" customWidth="1"/>
    <col min="9871" max="9871" width="14.44140625" style="737" customWidth="1"/>
    <col min="9872" max="9872" width="5.6640625" style="737" customWidth="1"/>
    <col min="9873" max="9873" width="14.5546875" style="737" customWidth="1"/>
    <col min="9874" max="9875" width="5.88671875" style="737" customWidth="1"/>
    <col min="9876" max="9876" width="26.6640625" style="737" customWidth="1"/>
    <col min="9877" max="9880" width="11.33203125" style="737" customWidth="1"/>
    <col min="9881" max="9881" width="5.5546875" style="737" customWidth="1"/>
    <col min="9882" max="9882" width="14.5546875" style="737" customWidth="1"/>
    <col min="9883" max="9883" width="5.6640625" style="737" customWidth="1"/>
    <col min="9884" max="9884" width="30.88671875" style="737" bestFit="1" customWidth="1"/>
    <col min="9885" max="9885" width="9.109375" style="737"/>
    <col min="9886" max="9886" width="10.88671875" style="737" bestFit="1" customWidth="1"/>
    <col min="9887" max="9887" width="42.44140625" style="737" customWidth="1"/>
    <col min="9888" max="9888" width="5.88671875" style="737" customWidth="1"/>
    <col min="9889" max="9889" width="14.44140625" style="737" customWidth="1"/>
    <col min="9890" max="9890" width="5.5546875" style="737" customWidth="1"/>
    <col min="9891" max="9891" width="16" style="737" bestFit="1" customWidth="1"/>
    <col min="9892" max="9897" width="10.33203125" style="737" customWidth="1"/>
    <col min="9898" max="9898" width="5.5546875" style="737" customWidth="1"/>
    <col min="9899" max="9899" width="9.5546875" style="737" customWidth="1"/>
    <col min="9900" max="9900" width="9.109375" style="737"/>
    <col min="9901" max="9901" width="5.44140625" style="737" customWidth="1"/>
    <col min="9902" max="9904" width="9.109375" style="737"/>
    <col min="9905" max="9905" width="5.44140625" style="737" customWidth="1"/>
    <col min="9906" max="9907" width="9.33203125" style="737" customWidth="1"/>
    <col min="9908" max="9908" width="5.44140625" style="737" customWidth="1"/>
    <col min="9909" max="9909" width="21.6640625" style="737" bestFit="1" customWidth="1"/>
    <col min="9910" max="9913" width="11.44140625" style="737" customWidth="1"/>
    <col min="9914" max="9914" width="5.44140625" style="737" customWidth="1"/>
    <col min="9915" max="9915" width="9.109375" style="737"/>
    <col min="9916" max="9916" width="5.5546875" style="737" customWidth="1"/>
    <col min="9917" max="9917" width="16.88671875" style="737" customWidth="1"/>
    <col min="9918" max="9920" width="14.5546875" style="737" customWidth="1"/>
    <col min="9921" max="9921" width="5.5546875" style="737" customWidth="1"/>
    <col min="9922" max="9923" width="9.109375" style="737"/>
    <col min="9924" max="9924" width="5.6640625" style="737" customWidth="1"/>
    <col min="9925" max="9925" width="9.109375" style="737"/>
    <col min="9926" max="9926" width="9" style="737" customWidth="1"/>
    <col min="9927" max="9927" width="9.44140625" style="737" bestFit="1" customWidth="1"/>
    <col min="9928" max="9928" width="10.44140625" style="737" bestFit="1" customWidth="1"/>
    <col min="9929" max="9932" width="9.44140625" style="737" bestFit="1" customWidth="1"/>
    <col min="9933" max="9933" width="5.6640625" style="737" customWidth="1"/>
    <col min="9934" max="9934" width="9.109375" style="737"/>
    <col min="9935" max="9935" width="5.6640625" style="737" customWidth="1"/>
    <col min="9936" max="9936" width="9.109375" style="737"/>
    <col min="9937" max="9937" width="9" style="737" customWidth="1"/>
    <col min="9938" max="9938" width="9.44140625" style="737" bestFit="1" customWidth="1"/>
    <col min="9939" max="9939" width="9.88671875" style="737" bestFit="1" customWidth="1"/>
    <col min="9940" max="9943" width="9.44140625" style="737" bestFit="1" customWidth="1"/>
    <col min="9944" max="9944" width="5.6640625" style="737" customWidth="1"/>
    <col min="9945" max="9945" width="9.109375" style="737"/>
    <col min="9946" max="9946" width="5.5546875" style="737" customWidth="1"/>
    <col min="9947" max="9947" width="16.44140625" style="737" customWidth="1"/>
    <col min="9948" max="9948" width="10.6640625" style="737" customWidth="1"/>
    <col min="9949" max="9954" width="9.5546875" style="737" customWidth="1"/>
    <col min="9955" max="9955" width="5.5546875" style="737" customWidth="1"/>
    <col min="9956" max="9957" width="9.109375" style="737"/>
    <col min="9958" max="9958" width="5.44140625" style="737" customWidth="1"/>
    <col min="9959" max="9959" width="8.109375" style="737" customWidth="1"/>
    <col min="9960" max="9960" width="9.33203125" style="737" customWidth="1"/>
    <col min="9961" max="9961" width="10.6640625" style="737" customWidth="1"/>
    <col min="9962" max="9962" width="9.33203125" style="737" customWidth="1"/>
    <col min="9963" max="9963" width="5.44140625" style="737" customWidth="1"/>
    <col min="9964" max="9964" width="9.109375" style="737"/>
    <col min="9965" max="9965" width="5.44140625" style="737" customWidth="1"/>
    <col min="9966" max="9968" width="9.44140625" style="737" customWidth="1"/>
    <col min="9969" max="9969" width="5.44140625" style="737" customWidth="1"/>
    <col min="9970" max="9971" width="9.109375" style="737"/>
    <col min="9972" max="9972" width="5.44140625" style="737" customWidth="1"/>
    <col min="9973" max="9973" width="13.5546875" style="737" customWidth="1"/>
    <col min="9974" max="9974" width="13.6640625" style="737" customWidth="1"/>
    <col min="9975" max="9975" width="13.5546875" style="737" customWidth="1"/>
    <col min="9976" max="9976" width="5.44140625" style="737" customWidth="1"/>
    <col min="9977" max="9978" width="9.109375" style="737"/>
    <col min="9979" max="9979" width="5.44140625" style="737" customWidth="1"/>
    <col min="9980" max="9980" width="11.109375" style="737" bestFit="1" customWidth="1"/>
    <col min="9981" max="9988" width="9.44140625" style="737" customWidth="1"/>
    <col min="9989" max="9989" width="5.44140625" style="737" customWidth="1"/>
    <col min="9990" max="10122" width="9.109375" style="737"/>
    <col min="10123" max="10123" width="5.88671875" style="737" customWidth="1"/>
    <col min="10124" max="10124" width="5.6640625" style="737" customWidth="1"/>
    <col min="10125" max="10125" width="35.5546875" style="737" customWidth="1"/>
    <col min="10126" max="10126" width="14.5546875" style="737" customWidth="1"/>
    <col min="10127" max="10127" width="14.44140625" style="737" customWidth="1"/>
    <col min="10128" max="10128" width="5.6640625" style="737" customWidth="1"/>
    <col min="10129" max="10129" width="14.5546875" style="737" customWidth="1"/>
    <col min="10130" max="10131" width="5.88671875" style="737" customWidth="1"/>
    <col min="10132" max="10132" width="26.6640625" style="737" customWidth="1"/>
    <col min="10133" max="10136" width="11.33203125" style="737" customWidth="1"/>
    <col min="10137" max="10137" width="5.5546875" style="737" customWidth="1"/>
    <col min="10138" max="10138" width="14.5546875" style="737" customWidth="1"/>
    <col min="10139" max="10139" width="5.6640625" style="737" customWidth="1"/>
    <col min="10140" max="10140" width="30.88671875" style="737" bestFit="1" customWidth="1"/>
    <col min="10141" max="10141" width="9.109375" style="737"/>
    <col min="10142" max="10142" width="10.88671875" style="737" bestFit="1" customWidth="1"/>
    <col min="10143" max="10143" width="42.44140625" style="737" customWidth="1"/>
    <col min="10144" max="10144" width="5.88671875" style="737" customWidth="1"/>
    <col min="10145" max="10145" width="14.44140625" style="737" customWidth="1"/>
    <col min="10146" max="10146" width="5.5546875" style="737" customWidth="1"/>
    <col min="10147" max="10147" width="16" style="737" bestFit="1" customWidth="1"/>
    <col min="10148" max="10153" width="10.33203125" style="737" customWidth="1"/>
    <col min="10154" max="10154" width="5.5546875" style="737" customWidth="1"/>
    <col min="10155" max="10155" width="9.5546875" style="737" customWidth="1"/>
    <col min="10156" max="10156" width="9.109375" style="737"/>
    <col min="10157" max="10157" width="5.44140625" style="737" customWidth="1"/>
    <col min="10158" max="10160" width="9.109375" style="737"/>
    <col min="10161" max="10161" width="5.44140625" style="737" customWidth="1"/>
    <col min="10162" max="10163" width="9.33203125" style="737" customWidth="1"/>
    <col min="10164" max="10164" width="5.44140625" style="737" customWidth="1"/>
    <col min="10165" max="10165" width="21.6640625" style="737" bestFit="1" customWidth="1"/>
    <col min="10166" max="10169" width="11.44140625" style="737" customWidth="1"/>
    <col min="10170" max="10170" width="5.44140625" style="737" customWidth="1"/>
    <col min="10171" max="10171" width="9.109375" style="737"/>
    <col min="10172" max="10172" width="5.5546875" style="737" customWidth="1"/>
    <col min="10173" max="10173" width="16.88671875" style="737" customWidth="1"/>
    <col min="10174" max="10176" width="14.5546875" style="737" customWidth="1"/>
    <col min="10177" max="10177" width="5.5546875" style="737" customWidth="1"/>
    <col min="10178" max="10179" width="9.109375" style="737"/>
    <col min="10180" max="10180" width="5.6640625" style="737" customWidth="1"/>
    <col min="10181" max="10181" width="9.109375" style="737"/>
    <col min="10182" max="10182" width="9" style="737" customWidth="1"/>
    <col min="10183" max="10183" width="9.44140625" style="737" bestFit="1" customWidth="1"/>
    <col min="10184" max="10184" width="10.44140625" style="737" bestFit="1" customWidth="1"/>
    <col min="10185" max="10188" width="9.44140625" style="737" bestFit="1" customWidth="1"/>
    <col min="10189" max="10189" width="5.6640625" style="737" customWidth="1"/>
    <col min="10190" max="10190" width="9.109375" style="737"/>
    <col min="10191" max="10191" width="5.6640625" style="737" customWidth="1"/>
    <col min="10192" max="10192" width="9.109375" style="737"/>
    <col min="10193" max="10193" width="9" style="737" customWidth="1"/>
    <col min="10194" max="10194" width="9.44140625" style="737" bestFit="1" customWidth="1"/>
    <col min="10195" max="10195" width="9.88671875" style="737" bestFit="1" customWidth="1"/>
    <col min="10196" max="10199" width="9.44140625" style="737" bestFit="1" customWidth="1"/>
    <col min="10200" max="10200" width="5.6640625" style="737" customWidth="1"/>
    <col min="10201" max="10201" width="9.109375" style="737"/>
    <col min="10202" max="10202" width="5.5546875" style="737" customWidth="1"/>
    <col min="10203" max="10203" width="16.44140625" style="737" customWidth="1"/>
    <col min="10204" max="10204" width="10.6640625" style="737" customWidth="1"/>
    <col min="10205" max="10210" width="9.5546875" style="737" customWidth="1"/>
    <col min="10211" max="10211" width="5.5546875" style="737" customWidth="1"/>
    <col min="10212" max="10213" width="9.109375" style="737"/>
    <col min="10214" max="10214" width="5.44140625" style="737" customWidth="1"/>
    <col min="10215" max="10215" width="8.109375" style="737" customWidth="1"/>
    <col min="10216" max="10216" width="9.33203125" style="737" customWidth="1"/>
    <col min="10217" max="10217" width="10.6640625" style="737" customWidth="1"/>
    <col min="10218" max="10218" width="9.33203125" style="737" customWidth="1"/>
    <col min="10219" max="10219" width="5.44140625" style="737" customWidth="1"/>
    <col min="10220" max="10220" width="9.109375" style="737"/>
    <col min="10221" max="10221" width="5.44140625" style="737" customWidth="1"/>
    <col min="10222" max="10224" width="9.44140625" style="737" customWidth="1"/>
    <col min="10225" max="10225" width="5.44140625" style="737" customWidth="1"/>
    <col min="10226" max="10227" width="9.109375" style="737"/>
    <col min="10228" max="10228" width="5.44140625" style="737" customWidth="1"/>
    <col min="10229" max="10229" width="13.5546875" style="737" customWidth="1"/>
    <col min="10230" max="10230" width="13.6640625" style="737" customWidth="1"/>
    <col min="10231" max="10231" width="13.5546875" style="737" customWidth="1"/>
    <col min="10232" max="10232" width="5.44140625" style="737" customWidth="1"/>
    <col min="10233" max="10234" width="9.109375" style="737"/>
    <col min="10235" max="10235" width="5.44140625" style="737" customWidth="1"/>
    <col min="10236" max="10236" width="11.109375" style="737" bestFit="1" customWidth="1"/>
    <col min="10237" max="10244" width="9.44140625" style="737" customWidth="1"/>
    <col min="10245" max="10245" width="5.44140625" style="737" customWidth="1"/>
    <col min="10246" max="10378" width="9.109375" style="737"/>
    <col min="10379" max="10379" width="5.88671875" style="737" customWidth="1"/>
    <col min="10380" max="10380" width="5.6640625" style="737" customWidth="1"/>
    <col min="10381" max="10381" width="35.5546875" style="737" customWidth="1"/>
    <col min="10382" max="10382" width="14.5546875" style="737" customWidth="1"/>
    <col min="10383" max="10383" width="14.44140625" style="737" customWidth="1"/>
    <col min="10384" max="10384" width="5.6640625" style="737" customWidth="1"/>
    <col min="10385" max="10385" width="14.5546875" style="737" customWidth="1"/>
    <col min="10386" max="10387" width="5.88671875" style="737" customWidth="1"/>
    <col min="10388" max="10388" width="26.6640625" style="737" customWidth="1"/>
    <col min="10389" max="10392" width="11.33203125" style="737" customWidth="1"/>
    <col min="10393" max="10393" width="5.5546875" style="737" customWidth="1"/>
    <col min="10394" max="10394" width="14.5546875" style="737" customWidth="1"/>
    <col min="10395" max="10395" width="5.6640625" style="737" customWidth="1"/>
    <col min="10396" max="10396" width="30.88671875" style="737" bestFit="1" customWidth="1"/>
    <col min="10397" max="10397" width="9.109375" style="737"/>
    <col min="10398" max="10398" width="10.88671875" style="737" bestFit="1" customWidth="1"/>
    <col min="10399" max="10399" width="42.44140625" style="737" customWidth="1"/>
    <col min="10400" max="10400" width="5.88671875" style="737" customWidth="1"/>
    <col min="10401" max="10401" width="14.44140625" style="737" customWidth="1"/>
    <col min="10402" max="10402" width="5.5546875" style="737" customWidth="1"/>
    <col min="10403" max="10403" width="16" style="737" bestFit="1" customWidth="1"/>
    <col min="10404" max="10409" width="10.33203125" style="737" customWidth="1"/>
    <col min="10410" max="10410" width="5.5546875" style="737" customWidth="1"/>
    <col min="10411" max="10411" width="9.5546875" style="737" customWidth="1"/>
    <col min="10412" max="10412" width="9.109375" style="737"/>
    <col min="10413" max="10413" width="5.44140625" style="737" customWidth="1"/>
    <col min="10414" max="10416" width="9.109375" style="737"/>
    <col min="10417" max="10417" width="5.44140625" style="737" customWidth="1"/>
    <col min="10418" max="10419" width="9.33203125" style="737" customWidth="1"/>
    <col min="10420" max="10420" width="5.44140625" style="737" customWidth="1"/>
    <col min="10421" max="10421" width="21.6640625" style="737" bestFit="1" customWidth="1"/>
    <col min="10422" max="10425" width="11.44140625" style="737" customWidth="1"/>
    <col min="10426" max="10426" width="5.44140625" style="737" customWidth="1"/>
    <col min="10427" max="10427" width="9.109375" style="737"/>
    <col min="10428" max="10428" width="5.5546875" style="737" customWidth="1"/>
    <col min="10429" max="10429" width="16.88671875" style="737" customWidth="1"/>
    <col min="10430" max="10432" width="14.5546875" style="737" customWidth="1"/>
    <col min="10433" max="10433" width="5.5546875" style="737" customWidth="1"/>
    <col min="10434" max="10435" width="9.109375" style="737"/>
    <col min="10436" max="10436" width="5.6640625" style="737" customWidth="1"/>
    <col min="10437" max="10437" width="9.109375" style="737"/>
    <col min="10438" max="10438" width="9" style="737" customWidth="1"/>
    <col min="10439" max="10439" width="9.44140625" style="737" bestFit="1" customWidth="1"/>
    <col min="10440" max="10440" width="10.44140625" style="737" bestFit="1" customWidth="1"/>
    <col min="10441" max="10444" width="9.44140625" style="737" bestFit="1" customWidth="1"/>
    <col min="10445" max="10445" width="5.6640625" style="737" customWidth="1"/>
    <col min="10446" max="10446" width="9.109375" style="737"/>
    <col min="10447" max="10447" width="5.6640625" style="737" customWidth="1"/>
    <col min="10448" max="10448" width="9.109375" style="737"/>
    <col min="10449" max="10449" width="9" style="737" customWidth="1"/>
    <col min="10450" max="10450" width="9.44140625" style="737" bestFit="1" customWidth="1"/>
    <col min="10451" max="10451" width="9.88671875" style="737" bestFit="1" customWidth="1"/>
    <col min="10452" max="10455" width="9.44140625" style="737" bestFit="1" customWidth="1"/>
    <col min="10456" max="10456" width="5.6640625" style="737" customWidth="1"/>
    <col min="10457" max="10457" width="9.109375" style="737"/>
    <col min="10458" max="10458" width="5.5546875" style="737" customWidth="1"/>
    <col min="10459" max="10459" width="16.44140625" style="737" customWidth="1"/>
    <col min="10460" max="10460" width="10.6640625" style="737" customWidth="1"/>
    <col min="10461" max="10466" width="9.5546875" style="737" customWidth="1"/>
    <col min="10467" max="10467" width="5.5546875" style="737" customWidth="1"/>
    <col min="10468" max="10469" width="9.109375" style="737"/>
    <col min="10470" max="10470" width="5.44140625" style="737" customWidth="1"/>
    <col min="10471" max="10471" width="8.109375" style="737" customWidth="1"/>
    <col min="10472" max="10472" width="9.33203125" style="737" customWidth="1"/>
    <col min="10473" max="10473" width="10.6640625" style="737" customWidth="1"/>
    <col min="10474" max="10474" width="9.33203125" style="737" customWidth="1"/>
    <col min="10475" max="10475" width="5.44140625" style="737" customWidth="1"/>
    <col min="10476" max="10476" width="9.109375" style="737"/>
    <col min="10477" max="10477" width="5.44140625" style="737" customWidth="1"/>
    <col min="10478" max="10480" width="9.44140625" style="737" customWidth="1"/>
    <col min="10481" max="10481" width="5.44140625" style="737" customWidth="1"/>
    <col min="10482" max="10483" width="9.109375" style="737"/>
    <col min="10484" max="10484" width="5.44140625" style="737" customWidth="1"/>
    <col min="10485" max="10485" width="13.5546875" style="737" customWidth="1"/>
    <col min="10486" max="10486" width="13.6640625" style="737" customWidth="1"/>
    <col min="10487" max="10487" width="13.5546875" style="737" customWidth="1"/>
    <col min="10488" max="10488" width="5.44140625" style="737" customWidth="1"/>
    <col min="10489" max="10490" width="9.109375" style="737"/>
    <col min="10491" max="10491" width="5.44140625" style="737" customWidth="1"/>
    <col min="10492" max="10492" width="11.109375" style="737" bestFit="1" customWidth="1"/>
    <col min="10493" max="10500" width="9.44140625" style="737" customWidth="1"/>
    <col min="10501" max="10501" width="5.44140625" style="737" customWidth="1"/>
    <col min="10502" max="10634" width="9.109375" style="737"/>
    <col min="10635" max="10635" width="5.88671875" style="737" customWidth="1"/>
    <col min="10636" max="10636" width="5.6640625" style="737" customWidth="1"/>
    <col min="10637" max="10637" width="35.5546875" style="737" customWidth="1"/>
    <col min="10638" max="10638" width="14.5546875" style="737" customWidth="1"/>
    <col min="10639" max="10639" width="14.44140625" style="737" customWidth="1"/>
    <col min="10640" max="10640" width="5.6640625" style="737" customWidth="1"/>
    <col min="10641" max="10641" width="14.5546875" style="737" customWidth="1"/>
    <col min="10642" max="10643" width="5.88671875" style="737" customWidth="1"/>
    <col min="10644" max="10644" width="26.6640625" style="737" customWidth="1"/>
    <col min="10645" max="10648" width="11.33203125" style="737" customWidth="1"/>
    <col min="10649" max="10649" width="5.5546875" style="737" customWidth="1"/>
    <col min="10650" max="10650" width="14.5546875" style="737" customWidth="1"/>
    <col min="10651" max="10651" width="5.6640625" style="737" customWidth="1"/>
    <col min="10652" max="10652" width="30.88671875" style="737" bestFit="1" customWidth="1"/>
    <col min="10653" max="10653" width="9.109375" style="737"/>
    <col min="10654" max="10654" width="10.88671875" style="737" bestFit="1" customWidth="1"/>
    <col min="10655" max="10655" width="42.44140625" style="737" customWidth="1"/>
    <col min="10656" max="10656" width="5.88671875" style="737" customWidth="1"/>
    <col min="10657" max="10657" width="14.44140625" style="737" customWidth="1"/>
    <col min="10658" max="10658" width="5.5546875" style="737" customWidth="1"/>
    <col min="10659" max="10659" width="16" style="737" bestFit="1" customWidth="1"/>
    <col min="10660" max="10665" width="10.33203125" style="737" customWidth="1"/>
    <col min="10666" max="10666" width="5.5546875" style="737" customWidth="1"/>
    <col min="10667" max="10667" width="9.5546875" style="737" customWidth="1"/>
    <col min="10668" max="10668" width="9.109375" style="737"/>
    <col min="10669" max="10669" width="5.44140625" style="737" customWidth="1"/>
    <col min="10670" max="10672" width="9.109375" style="737"/>
    <col min="10673" max="10673" width="5.44140625" style="737" customWidth="1"/>
    <col min="10674" max="10675" width="9.33203125" style="737" customWidth="1"/>
    <col min="10676" max="10676" width="5.44140625" style="737" customWidth="1"/>
    <col min="10677" max="10677" width="21.6640625" style="737" bestFit="1" customWidth="1"/>
    <col min="10678" max="10681" width="11.44140625" style="737" customWidth="1"/>
    <col min="10682" max="10682" width="5.44140625" style="737" customWidth="1"/>
    <col min="10683" max="10683" width="9.109375" style="737"/>
    <col min="10684" max="10684" width="5.5546875" style="737" customWidth="1"/>
    <col min="10685" max="10685" width="16.88671875" style="737" customWidth="1"/>
    <col min="10686" max="10688" width="14.5546875" style="737" customWidth="1"/>
    <col min="10689" max="10689" width="5.5546875" style="737" customWidth="1"/>
    <col min="10690" max="10691" width="9.109375" style="737"/>
    <col min="10692" max="10692" width="5.6640625" style="737" customWidth="1"/>
    <col min="10693" max="10693" width="9.109375" style="737"/>
    <col min="10694" max="10694" width="9" style="737" customWidth="1"/>
    <col min="10695" max="10695" width="9.44140625" style="737" bestFit="1" customWidth="1"/>
    <col min="10696" max="10696" width="10.44140625" style="737" bestFit="1" customWidth="1"/>
    <col min="10697" max="10700" width="9.44140625" style="737" bestFit="1" customWidth="1"/>
    <col min="10701" max="10701" width="5.6640625" style="737" customWidth="1"/>
    <col min="10702" max="10702" width="9.109375" style="737"/>
    <col min="10703" max="10703" width="5.6640625" style="737" customWidth="1"/>
    <col min="10704" max="10704" width="9.109375" style="737"/>
    <col min="10705" max="10705" width="9" style="737" customWidth="1"/>
    <col min="10706" max="10706" width="9.44140625" style="737" bestFit="1" customWidth="1"/>
    <col min="10707" max="10707" width="9.88671875" style="737" bestFit="1" customWidth="1"/>
    <col min="10708" max="10711" width="9.44140625" style="737" bestFit="1" customWidth="1"/>
    <col min="10712" max="10712" width="5.6640625" style="737" customWidth="1"/>
    <col min="10713" max="10713" width="9.109375" style="737"/>
    <col min="10714" max="10714" width="5.5546875" style="737" customWidth="1"/>
    <col min="10715" max="10715" width="16.44140625" style="737" customWidth="1"/>
    <col min="10716" max="10716" width="10.6640625" style="737" customWidth="1"/>
    <col min="10717" max="10722" width="9.5546875" style="737" customWidth="1"/>
    <col min="10723" max="10723" width="5.5546875" style="737" customWidth="1"/>
    <col min="10724" max="10725" width="9.109375" style="737"/>
    <col min="10726" max="10726" width="5.44140625" style="737" customWidth="1"/>
    <col min="10727" max="10727" width="8.109375" style="737" customWidth="1"/>
    <col min="10728" max="10728" width="9.33203125" style="737" customWidth="1"/>
    <col min="10729" max="10729" width="10.6640625" style="737" customWidth="1"/>
    <col min="10730" max="10730" width="9.33203125" style="737" customWidth="1"/>
    <col min="10731" max="10731" width="5.44140625" style="737" customWidth="1"/>
    <col min="10732" max="10732" width="9.109375" style="737"/>
    <col min="10733" max="10733" width="5.44140625" style="737" customWidth="1"/>
    <col min="10734" max="10736" width="9.44140625" style="737" customWidth="1"/>
    <col min="10737" max="10737" width="5.44140625" style="737" customWidth="1"/>
    <col min="10738" max="10739" width="9.109375" style="737"/>
    <col min="10740" max="10740" width="5.44140625" style="737" customWidth="1"/>
    <col min="10741" max="10741" width="13.5546875" style="737" customWidth="1"/>
    <col min="10742" max="10742" width="13.6640625" style="737" customWidth="1"/>
    <col min="10743" max="10743" width="13.5546875" style="737" customWidth="1"/>
    <col min="10744" max="10744" width="5.44140625" style="737" customWidth="1"/>
    <col min="10745" max="10746" width="9.109375" style="737"/>
    <col min="10747" max="10747" width="5.44140625" style="737" customWidth="1"/>
    <col min="10748" max="10748" width="11.109375" style="737" bestFit="1" customWidth="1"/>
    <col min="10749" max="10756" width="9.44140625" style="737" customWidth="1"/>
    <col min="10757" max="10757" width="5.44140625" style="737" customWidth="1"/>
    <col min="10758" max="10890" width="9.109375" style="737"/>
    <col min="10891" max="10891" width="5.88671875" style="737" customWidth="1"/>
    <col min="10892" max="10892" width="5.6640625" style="737" customWidth="1"/>
    <col min="10893" max="10893" width="35.5546875" style="737" customWidth="1"/>
    <col min="10894" max="10894" width="14.5546875" style="737" customWidth="1"/>
    <col min="10895" max="10895" width="14.44140625" style="737" customWidth="1"/>
    <col min="10896" max="10896" width="5.6640625" style="737" customWidth="1"/>
    <col min="10897" max="10897" width="14.5546875" style="737" customWidth="1"/>
    <col min="10898" max="10899" width="5.88671875" style="737" customWidth="1"/>
    <col min="10900" max="10900" width="26.6640625" style="737" customWidth="1"/>
    <col min="10901" max="10904" width="11.33203125" style="737" customWidth="1"/>
    <col min="10905" max="10905" width="5.5546875" style="737" customWidth="1"/>
    <col min="10906" max="10906" width="14.5546875" style="737" customWidth="1"/>
    <col min="10907" max="10907" width="5.6640625" style="737" customWidth="1"/>
    <col min="10908" max="10908" width="30.88671875" style="737" bestFit="1" customWidth="1"/>
    <col min="10909" max="10909" width="9.109375" style="737"/>
    <col min="10910" max="10910" width="10.88671875" style="737" bestFit="1" customWidth="1"/>
    <col min="10911" max="10911" width="42.44140625" style="737" customWidth="1"/>
    <col min="10912" max="10912" width="5.88671875" style="737" customWidth="1"/>
    <col min="10913" max="10913" width="14.44140625" style="737" customWidth="1"/>
    <col min="10914" max="10914" width="5.5546875" style="737" customWidth="1"/>
    <col min="10915" max="10915" width="16" style="737" bestFit="1" customWidth="1"/>
    <col min="10916" max="10921" width="10.33203125" style="737" customWidth="1"/>
    <col min="10922" max="10922" width="5.5546875" style="737" customWidth="1"/>
    <col min="10923" max="10923" width="9.5546875" style="737" customWidth="1"/>
    <col min="10924" max="10924" width="9.109375" style="737"/>
    <col min="10925" max="10925" width="5.44140625" style="737" customWidth="1"/>
    <col min="10926" max="10928" width="9.109375" style="737"/>
    <col min="10929" max="10929" width="5.44140625" style="737" customWidth="1"/>
    <col min="10930" max="10931" width="9.33203125" style="737" customWidth="1"/>
    <col min="10932" max="10932" width="5.44140625" style="737" customWidth="1"/>
    <col min="10933" max="10933" width="21.6640625" style="737" bestFit="1" customWidth="1"/>
    <col min="10934" max="10937" width="11.44140625" style="737" customWidth="1"/>
    <col min="10938" max="10938" width="5.44140625" style="737" customWidth="1"/>
    <col min="10939" max="10939" width="9.109375" style="737"/>
    <col min="10940" max="10940" width="5.5546875" style="737" customWidth="1"/>
    <col min="10941" max="10941" width="16.88671875" style="737" customWidth="1"/>
    <col min="10942" max="10944" width="14.5546875" style="737" customWidth="1"/>
    <col min="10945" max="10945" width="5.5546875" style="737" customWidth="1"/>
    <col min="10946" max="10947" width="9.109375" style="737"/>
    <col min="10948" max="10948" width="5.6640625" style="737" customWidth="1"/>
    <col min="10949" max="10949" width="9.109375" style="737"/>
    <col min="10950" max="10950" width="9" style="737" customWidth="1"/>
    <col min="10951" max="10951" width="9.44140625" style="737" bestFit="1" customWidth="1"/>
    <col min="10952" max="10952" width="10.44140625" style="737" bestFit="1" customWidth="1"/>
    <col min="10953" max="10956" width="9.44140625" style="737" bestFit="1" customWidth="1"/>
    <col min="10957" max="10957" width="5.6640625" style="737" customWidth="1"/>
    <col min="10958" max="10958" width="9.109375" style="737"/>
    <col min="10959" max="10959" width="5.6640625" style="737" customWidth="1"/>
    <col min="10960" max="10960" width="9.109375" style="737"/>
    <col min="10961" max="10961" width="9" style="737" customWidth="1"/>
    <col min="10962" max="10962" width="9.44140625" style="737" bestFit="1" customWidth="1"/>
    <col min="10963" max="10963" width="9.88671875" style="737" bestFit="1" customWidth="1"/>
    <col min="10964" max="10967" width="9.44140625" style="737" bestFit="1" customWidth="1"/>
    <col min="10968" max="10968" width="5.6640625" style="737" customWidth="1"/>
    <col min="10969" max="10969" width="9.109375" style="737"/>
    <col min="10970" max="10970" width="5.5546875" style="737" customWidth="1"/>
    <col min="10971" max="10971" width="16.44140625" style="737" customWidth="1"/>
    <col min="10972" max="10972" width="10.6640625" style="737" customWidth="1"/>
    <col min="10973" max="10978" width="9.5546875" style="737" customWidth="1"/>
    <col min="10979" max="10979" width="5.5546875" style="737" customWidth="1"/>
    <col min="10980" max="10981" width="9.109375" style="737"/>
    <col min="10982" max="10982" width="5.44140625" style="737" customWidth="1"/>
    <col min="10983" max="10983" width="8.109375" style="737" customWidth="1"/>
    <col min="10984" max="10984" width="9.33203125" style="737" customWidth="1"/>
    <col min="10985" max="10985" width="10.6640625" style="737" customWidth="1"/>
    <col min="10986" max="10986" width="9.33203125" style="737" customWidth="1"/>
    <col min="10987" max="10987" width="5.44140625" style="737" customWidth="1"/>
    <col min="10988" max="10988" width="9.109375" style="737"/>
    <col min="10989" max="10989" width="5.44140625" style="737" customWidth="1"/>
    <col min="10990" max="10992" width="9.44140625" style="737" customWidth="1"/>
    <col min="10993" max="10993" width="5.44140625" style="737" customWidth="1"/>
    <col min="10994" max="10995" width="9.109375" style="737"/>
    <col min="10996" max="10996" width="5.44140625" style="737" customWidth="1"/>
    <col min="10997" max="10997" width="13.5546875" style="737" customWidth="1"/>
    <col min="10998" max="10998" width="13.6640625" style="737" customWidth="1"/>
    <col min="10999" max="10999" width="13.5546875" style="737" customWidth="1"/>
    <col min="11000" max="11000" width="5.44140625" style="737" customWidth="1"/>
    <col min="11001" max="11002" width="9.109375" style="737"/>
    <col min="11003" max="11003" width="5.44140625" style="737" customWidth="1"/>
    <col min="11004" max="11004" width="11.109375" style="737" bestFit="1" customWidth="1"/>
    <col min="11005" max="11012" width="9.44140625" style="737" customWidth="1"/>
    <col min="11013" max="11013" width="5.44140625" style="737" customWidth="1"/>
    <col min="11014" max="11146" width="9.109375" style="737"/>
    <col min="11147" max="11147" width="5.88671875" style="737" customWidth="1"/>
    <col min="11148" max="11148" width="5.6640625" style="737" customWidth="1"/>
    <col min="11149" max="11149" width="35.5546875" style="737" customWidth="1"/>
    <col min="11150" max="11150" width="14.5546875" style="737" customWidth="1"/>
    <col min="11151" max="11151" width="14.44140625" style="737" customWidth="1"/>
    <col min="11152" max="11152" width="5.6640625" style="737" customWidth="1"/>
    <col min="11153" max="11153" width="14.5546875" style="737" customWidth="1"/>
    <col min="11154" max="11155" width="5.88671875" style="737" customWidth="1"/>
    <col min="11156" max="11156" width="26.6640625" style="737" customWidth="1"/>
    <col min="11157" max="11160" width="11.33203125" style="737" customWidth="1"/>
    <col min="11161" max="11161" width="5.5546875" style="737" customWidth="1"/>
    <col min="11162" max="11162" width="14.5546875" style="737" customWidth="1"/>
    <col min="11163" max="11163" width="5.6640625" style="737" customWidth="1"/>
    <col min="11164" max="11164" width="30.88671875" style="737" bestFit="1" customWidth="1"/>
    <col min="11165" max="11165" width="9.109375" style="737"/>
    <col min="11166" max="11166" width="10.88671875" style="737" bestFit="1" customWidth="1"/>
    <col min="11167" max="11167" width="42.44140625" style="737" customWidth="1"/>
    <col min="11168" max="11168" width="5.88671875" style="737" customWidth="1"/>
    <col min="11169" max="11169" width="14.44140625" style="737" customWidth="1"/>
    <col min="11170" max="11170" width="5.5546875" style="737" customWidth="1"/>
    <col min="11171" max="11171" width="16" style="737" bestFit="1" customWidth="1"/>
    <col min="11172" max="11177" width="10.33203125" style="737" customWidth="1"/>
    <col min="11178" max="11178" width="5.5546875" style="737" customWidth="1"/>
    <col min="11179" max="11179" width="9.5546875" style="737" customWidth="1"/>
    <col min="11180" max="11180" width="9.109375" style="737"/>
    <col min="11181" max="11181" width="5.44140625" style="737" customWidth="1"/>
    <col min="11182" max="11184" width="9.109375" style="737"/>
    <col min="11185" max="11185" width="5.44140625" style="737" customWidth="1"/>
    <col min="11186" max="11187" width="9.33203125" style="737" customWidth="1"/>
    <col min="11188" max="11188" width="5.44140625" style="737" customWidth="1"/>
    <col min="11189" max="11189" width="21.6640625" style="737" bestFit="1" customWidth="1"/>
    <col min="11190" max="11193" width="11.44140625" style="737" customWidth="1"/>
    <col min="11194" max="11194" width="5.44140625" style="737" customWidth="1"/>
    <col min="11195" max="11195" width="9.109375" style="737"/>
    <col min="11196" max="11196" width="5.5546875" style="737" customWidth="1"/>
    <col min="11197" max="11197" width="16.88671875" style="737" customWidth="1"/>
    <col min="11198" max="11200" width="14.5546875" style="737" customWidth="1"/>
    <col min="11201" max="11201" width="5.5546875" style="737" customWidth="1"/>
    <col min="11202" max="11203" width="9.109375" style="737"/>
    <col min="11204" max="11204" width="5.6640625" style="737" customWidth="1"/>
    <col min="11205" max="11205" width="9.109375" style="737"/>
    <col min="11206" max="11206" width="9" style="737" customWidth="1"/>
    <col min="11207" max="11207" width="9.44140625" style="737" bestFit="1" customWidth="1"/>
    <col min="11208" max="11208" width="10.44140625" style="737" bestFit="1" customWidth="1"/>
    <col min="11209" max="11212" width="9.44140625" style="737" bestFit="1" customWidth="1"/>
    <col min="11213" max="11213" width="5.6640625" style="737" customWidth="1"/>
    <col min="11214" max="11214" width="9.109375" style="737"/>
    <col min="11215" max="11215" width="5.6640625" style="737" customWidth="1"/>
    <col min="11216" max="11216" width="9.109375" style="737"/>
    <col min="11217" max="11217" width="9" style="737" customWidth="1"/>
    <col min="11218" max="11218" width="9.44140625" style="737" bestFit="1" customWidth="1"/>
    <col min="11219" max="11219" width="9.88671875" style="737" bestFit="1" customWidth="1"/>
    <col min="11220" max="11223" width="9.44140625" style="737" bestFit="1" customWidth="1"/>
    <col min="11224" max="11224" width="5.6640625" style="737" customWidth="1"/>
    <col min="11225" max="11225" width="9.109375" style="737"/>
    <col min="11226" max="11226" width="5.5546875" style="737" customWidth="1"/>
    <col min="11227" max="11227" width="16.44140625" style="737" customWidth="1"/>
    <col min="11228" max="11228" width="10.6640625" style="737" customWidth="1"/>
    <col min="11229" max="11234" width="9.5546875" style="737" customWidth="1"/>
    <col min="11235" max="11235" width="5.5546875" style="737" customWidth="1"/>
    <col min="11236" max="11237" width="9.109375" style="737"/>
    <col min="11238" max="11238" width="5.44140625" style="737" customWidth="1"/>
    <col min="11239" max="11239" width="8.109375" style="737" customWidth="1"/>
    <col min="11240" max="11240" width="9.33203125" style="737" customWidth="1"/>
    <col min="11241" max="11241" width="10.6640625" style="737" customWidth="1"/>
    <col min="11242" max="11242" width="9.33203125" style="737" customWidth="1"/>
    <col min="11243" max="11243" width="5.44140625" style="737" customWidth="1"/>
    <col min="11244" max="11244" width="9.109375" style="737"/>
    <col min="11245" max="11245" width="5.44140625" style="737" customWidth="1"/>
    <col min="11246" max="11248" width="9.44140625" style="737" customWidth="1"/>
    <col min="11249" max="11249" width="5.44140625" style="737" customWidth="1"/>
    <col min="11250" max="11251" width="9.109375" style="737"/>
    <col min="11252" max="11252" width="5.44140625" style="737" customWidth="1"/>
    <col min="11253" max="11253" width="13.5546875" style="737" customWidth="1"/>
    <col min="11254" max="11254" width="13.6640625" style="737" customWidth="1"/>
    <col min="11255" max="11255" width="13.5546875" style="737" customWidth="1"/>
    <col min="11256" max="11256" width="5.44140625" style="737" customWidth="1"/>
    <col min="11257" max="11258" width="9.109375" style="737"/>
    <col min="11259" max="11259" width="5.44140625" style="737" customWidth="1"/>
    <col min="11260" max="11260" width="11.109375" style="737" bestFit="1" customWidth="1"/>
    <col min="11261" max="11268" width="9.44140625" style="737" customWidth="1"/>
    <col min="11269" max="11269" width="5.44140625" style="737" customWidth="1"/>
    <col min="11270" max="11402" width="9.109375" style="737"/>
    <col min="11403" max="11403" width="5.88671875" style="737" customWidth="1"/>
    <col min="11404" max="11404" width="5.6640625" style="737" customWidth="1"/>
    <col min="11405" max="11405" width="35.5546875" style="737" customWidth="1"/>
    <col min="11406" max="11406" width="14.5546875" style="737" customWidth="1"/>
    <col min="11407" max="11407" width="14.44140625" style="737" customWidth="1"/>
    <col min="11408" max="11408" width="5.6640625" style="737" customWidth="1"/>
    <col min="11409" max="11409" width="14.5546875" style="737" customWidth="1"/>
    <col min="11410" max="11411" width="5.88671875" style="737" customWidth="1"/>
    <col min="11412" max="11412" width="26.6640625" style="737" customWidth="1"/>
    <col min="11413" max="11416" width="11.33203125" style="737" customWidth="1"/>
    <col min="11417" max="11417" width="5.5546875" style="737" customWidth="1"/>
    <col min="11418" max="11418" width="14.5546875" style="737" customWidth="1"/>
    <col min="11419" max="11419" width="5.6640625" style="737" customWidth="1"/>
    <col min="11420" max="11420" width="30.88671875" style="737" bestFit="1" customWidth="1"/>
    <col min="11421" max="11421" width="9.109375" style="737"/>
    <col min="11422" max="11422" width="10.88671875" style="737" bestFit="1" customWidth="1"/>
    <col min="11423" max="11423" width="42.44140625" style="737" customWidth="1"/>
    <col min="11424" max="11424" width="5.88671875" style="737" customWidth="1"/>
    <col min="11425" max="11425" width="14.44140625" style="737" customWidth="1"/>
    <col min="11426" max="11426" width="5.5546875" style="737" customWidth="1"/>
    <col min="11427" max="11427" width="16" style="737" bestFit="1" customWidth="1"/>
    <col min="11428" max="11433" width="10.33203125" style="737" customWidth="1"/>
    <col min="11434" max="11434" width="5.5546875" style="737" customWidth="1"/>
    <col min="11435" max="11435" width="9.5546875" style="737" customWidth="1"/>
    <col min="11436" max="11436" width="9.109375" style="737"/>
    <col min="11437" max="11437" width="5.44140625" style="737" customWidth="1"/>
    <col min="11438" max="11440" width="9.109375" style="737"/>
    <col min="11441" max="11441" width="5.44140625" style="737" customWidth="1"/>
    <col min="11442" max="11443" width="9.33203125" style="737" customWidth="1"/>
    <col min="11444" max="11444" width="5.44140625" style="737" customWidth="1"/>
    <col min="11445" max="11445" width="21.6640625" style="737" bestFit="1" customWidth="1"/>
    <col min="11446" max="11449" width="11.44140625" style="737" customWidth="1"/>
    <col min="11450" max="11450" width="5.44140625" style="737" customWidth="1"/>
    <col min="11451" max="11451" width="9.109375" style="737"/>
    <col min="11452" max="11452" width="5.5546875" style="737" customWidth="1"/>
    <col min="11453" max="11453" width="16.88671875" style="737" customWidth="1"/>
    <col min="11454" max="11456" width="14.5546875" style="737" customWidth="1"/>
    <col min="11457" max="11457" width="5.5546875" style="737" customWidth="1"/>
    <col min="11458" max="11459" width="9.109375" style="737"/>
    <col min="11460" max="11460" width="5.6640625" style="737" customWidth="1"/>
    <col min="11461" max="11461" width="9.109375" style="737"/>
    <col min="11462" max="11462" width="9" style="737" customWidth="1"/>
    <col min="11463" max="11463" width="9.44140625" style="737" bestFit="1" customWidth="1"/>
    <col min="11464" max="11464" width="10.44140625" style="737" bestFit="1" customWidth="1"/>
    <col min="11465" max="11468" width="9.44140625" style="737" bestFit="1" customWidth="1"/>
    <col min="11469" max="11469" width="5.6640625" style="737" customWidth="1"/>
    <col min="11470" max="11470" width="9.109375" style="737"/>
    <col min="11471" max="11471" width="5.6640625" style="737" customWidth="1"/>
    <col min="11472" max="11472" width="9.109375" style="737"/>
    <col min="11473" max="11473" width="9" style="737" customWidth="1"/>
    <col min="11474" max="11474" width="9.44140625" style="737" bestFit="1" customWidth="1"/>
    <col min="11475" max="11475" width="9.88671875" style="737" bestFit="1" customWidth="1"/>
    <col min="11476" max="11479" width="9.44140625" style="737" bestFit="1" customWidth="1"/>
    <col min="11480" max="11480" width="5.6640625" style="737" customWidth="1"/>
    <col min="11481" max="11481" width="9.109375" style="737"/>
    <col min="11482" max="11482" width="5.5546875" style="737" customWidth="1"/>
    <col min="11483" max="11483" width="16.44140625" style="737" customWidth="1"/>
    <col min="11484" max="11484" width="10.6640625" style="737" customWidth="1"/>
    <col min="11485" max="11490" width="9.5546875" style="737" customWidth="1"/>
    <col min="11491" max="11491" width="5.5546875" style="737" customWidth="1"/>
    <col min="11492" max="11493" width="9.109375" style="737"/>
    <col min="11494" max="11494" width="5.44140625" style="737" customWidth="1"/>
    <col min="11495" max="11495" width="8.109375" style="737" customWidth="1"/>
    <col min="11496" max="11496" width="9.33203125" style="737" customWidth="1"/>
    <col min="11497" max="11497" width="10.6640625" style="737" customWidth="1"/>
    <col min="11498" max="11498" width="9.33203125" style="737" customWidth="1"/>
    <col min="11499" max="11499" width="5.44140625" style="737" customWidth="1"/>
    <col min="11500" max="11500" width="9.109375" style="737"/>
    <col min="11501" max="11501" width="5.44140625" style="737" customWidth="1"/>
    <col min="11502" max="11504" width="9.44140625" style="737" customWidth="1"/>
    <col min="11505" max="11505" width="5.44140625" style="737" customWidth="1"/>
    <col min="11506" max="11507" width="9.109375" style="737"/>
    <col min="11508" max="11508" width="5.44140625" style="737" customWidth="1"/>
    <col min="11509" max="11509" width="13.5546875" style="737" customWidth="1"/>
    <col min="11510" max="11510" width="13.6640625" style="737" customWidth="1"/>
    <col min="11511" max="11511" width="13.5546875" style="737" customWidth="1"/>
    <col min="11512" max="11512" width="5.44140625" style="737" customWidth="1"/>
    <col min="11513" max="11514" width="9.109375" style="737"/>
    <col min="11515" max="11515" width="5.44140625" style="737" customWidth="1"/>
    <col min="11516" max="11516" width="11.109375" style="737" bestFit="1" customWidth="1"/>
    <col min="11517" max="11524" width="9.44140625" style="737" customWidth="1"/>
    <col min="11525" max="11525" width="5.44140625" style="737" customWidth="1"/>
    <col min="11526" max="11658" width="9.109375" style="737"/>
    <col min="11659" max="11659" width="5.88671875" style="737" customWidth="1"/>
    <col min="11660" max="11660" width="5.6640625" style="737" customWidth="1"/>
    <col min="11661" max="11661" width="35.5546875" style="737" customWidth="1"/>
    <col min="11662" max="11662" width="14.5546875" style="737" customWidth="1"/>
    <col min="11663" max="11663" width="14.44140625" style="737" customWidth="1"/>
    <col min="11664" max="11664" width="5.6640625" style="737" customWidth="1"/>
    <col min="11665" max="11665" width="14.5546875" style="737" customWidth="1"/>
    <col min="11666" max="11667" width="5.88671875" style="737" customWidth="1"/>
    <col min="11668" max="11668" width="26.6640625" style="737" customWidth="1"/>
    <col min="11669" max="11672" width="11.33203125" style="737" customWidth="1"/>
    <col min="11673" max="11673" width="5.5546875" style="737" customWidth="1"/>
    <col min="11674" max="11674" width="14.5546875" style="737" customWidth="1"/>
    <col min="11675" max="11675" width="5.6640625" style="737" customWidth="1"/>
    <col min="11676" max="11676" width="30.88671875" style="737" bestFit="1" customWidth="1"/>
    <col min="11677" max="11677" width="9.109375" style="737"/>
    <col min="11678" max="11678" width="10.88671875" style="737" bestFit="1" customWidth="1"/>
    <col min="11679" max="11679" width="42.44140625" style="737" customWidth="1"/>
    <col min="11680" max="11680" width="5.88671875" style="737" customWidth="1"/>
    <col min="11681" max="11681" width="14.44140625" style="737" customWidth="1"/>
    <col min="11682" max="11682" width="5.5546875" style="737" customWidth="1"/>
    <col min="11683" max="11683" width="16" style="737" bestFit="1" customWidth="1"/>
    <col min="11684" max="11689" width="10.33203125" style="737" customWidth="1"/>
    <col min="11690" max="11690" width="5.5546875" style="737" customWidth="1"/>
    <col min="11691" max="11691" width="9.5546875" style="737" customWidth="1"/>
    <col min="11692" max="11692" width="9.109375" style="737"/>
    <col min="11693" max="11693" width="5.44140625" style="737" customWidth="1"/>
    <col min="11694" max="11696" width="9.109375" style="737"/>
    <col min="11697" max="11697" width="5.44140625" style="737" customWidth="1"/>
    <col min="11698" max="11699" width="9.33203125" style="737" customWidth="1"/>
    <col min="11700" max="11700" width="5.44140625" style="737" customWidth="1"/>
    <col min="11701" max="11701" width="21.6640625" style="737" bestFit="1" customWidth="1"/>
    <col min="11702" max="11705" width="11.44140625" style="737" customWidth="1"/>
    <col min="11706" max="11706" width="5.44140625" style="737" customWidth="1"/>
    <col min="11707" max="11707" width="9.109375" style="737"/>
    <col min="11708" max="11708" width="5.5546875" style="737" customWidth="1"/>
    <col min="11709" max="11709" width="16.88671875" style="737" customWidth="1"/>
    <col min="11710" max="11712" width="14.5546875" style="737" customWidth="1"/>
    <col min="11713" max="11713" width="5.5546875" style="737" customWidth="1"/>
    <col min="11714" max="11715" width="9.109375" style="737"/>
    <col min="11716" max="11716" width="5.6640625" style="737" customWidth="1"/>
    <col min="11717" max="11717" width="9.109375" style="737"/>
    <col min="11718" max="11718" width="9" style="737" customWidth="1"/>
    <col min="11719" max="11719" width="9.44140625" style="737" bestFit="1" customWidth="1"/>
    <col min="11720" max="11720" width="10.44140625" style="737" bestFit="1" customWidth="1"/>
    <col min="11721" max="11724" width="9.44140625" style="737" bestFit="1" customWidth="1"/>
    <col min="11725" max="11725" width="5.6640625" style="737" customWidth="1"/>
    <col min="11726" max="11726" width="9.109375" style="737"/>
    <col min="11727" max="11727" width="5.6640625" style="737" customWidth="1"/>
    <col min="11728" max="11728" width="9.109375" style="737"/>
    <col min="11729" max="11729" width="9" style="737" customWidth="1"/>
    <col min="11730" max="11730" width="9.44140625" style="737" bestFit="1" customWidth="1"/>
    <col min="11731" max="11731" width="9.88671875" style="737" bestFit="1" customWidth="1"/>
    <col min="11732" max="11735" width="9.44140625" style="737" bestFit="1" customWidth="1"/>
    <col min="11736" max="11736" width="5.6640625" style="737" customWidth="1"/>
    <col min="11737" max="11737" width="9.109375" style="737"/>
    <col min="11738" max="11738" width="5.5546875" style="737" customWidth="1"/>
    <col min="11739" max="11739" width="16.44140625" style="737" customWidth="1"/>
    <col min="11740" max="11740" width="10.6640625" style="737" customWidth="1"/>
    <col min="11741" max="11746" width="9.5546875" style="737" customWidth="1"/>
    <col min="11747" max="11747" width="5.5546875" style="737" customWidth="1"/>
    <col min="11748" max="11749" width="9.109375" style="737"/>
    <col min="11750" max="11750" width="5.44140625" style="737" customWidth="1"/>
    <col min="11751" max="11751" width="8.109375" style="737" customWidth="1"/>
    <col min="11752" max="11752" width="9.33203125" style="737" customWidth="1"/>
    <col min="11753" max="11753" width="10.6640625" style="737" customWidth="1"/>
    <col min="11754" max="11754" width="9.33203125" style="737" customWidth="1"/>
    <col min="11755" max="11755" width="5.44140625" style="737" customWidth="1"/>
    <col min="11756" max="11756" width="9.109375" style="737"/>
    <col min="11757" max="11757" width="5.44140625" style="737" customWidth="1"/>
    <col min="11758" max="11760" width="9.44140625" style="737" customWidth="1"/>
    <col min="11761" max="11761" width="5.44140625" style="737" customWidth="1"/>
    <col min="11762" max="11763" width="9.109375" style="737"/>
    <col min="11764" max="11764" width="5.44140625" style="737" customWidth="1"/>
    <col min="11765" max="11765" width="13.5546875" style="737" customWidth="1"/>
    <col min="11766" max="11766" width="13.6640625" style="737" customWidth="1"/>
    <col min="11767" max="11767" width="13.5546875" style="737" customWidth="1"/>
    <col min="11768" max="11768" width="5.44140625" style="737" customWidth="1"/>
    <col min="11769" max="11770" width="9.109375" style="737"/>
    <col min="11771" max="11771" width="5.44140625" style="737" customWidth="1"/>
    <col min="11772" max="11772" width="11.109375" style="737" bestFit="1" customWidth="1"/>
    <col min="11773" max="11780" width="9.44140625" style="737" customWidth="1"/>
    <col min="11781" max="11781" width="5.44140625" style="737" customWidth="1"/>
    <col min="11782" max="11914" width="9.109375" style="737"/>
    <col min="11915" max="11915" width="5.88671875" style="737" customWidth="1"/>
    <col min="11916" max="11916" width="5.6640625" style="737" customWidth="1"/>
    <col min="11917" max="11917" width="35.5546875" style="737" customWidth="1"/>
    <col min="11918" max="11918" width="14.5546875" style="737" customWidth="1"/>
    <col min="11919" max="11919" width="14.44140625" style="737" customWidth="1"/>
    <col min="11920" max="11920" width="5.6640625" style="737" customWidth="1"/>
    <col min="11921" max="11921" width="14.5546875" style="737" customWidth="1"/>
    <col min="11922" max="11923" width="5.88671875" style="737" customWidth="1"/>
    <col min="11924" max="11924" width="26.6640625" style="737" customWidth="1"/>
    <col min="11925" max="11928" width="11.33203125" style="737" customWidth="1"/>
    <col min="11929" max="11929" width="5.5546875" style="737" customWidth="1"/>
    <col min="11930" max="11930" width="14.5546875" style="737" customWidth="1"/>
    <col min="11931" max="11931" width="5.6640625" style="737" customWidth="1"/>
    <col min="11932" max="11932" width="30.88671875" style="737" bestFit="1" customWidth="1"/>
    <col min="11933" max="11933" width="9.109375" style="737"/>
    <col min="11934" max="11934" width="10.88671875" style="737" bestFit="1" customWidth="1"/>
    <col min="11935" max="11935" width="42.44140625" style="737" customWidth="1"/>
    <col min="11936" max="11936" width="5.88671875" style="737" customWidth="1"/>
    <col min="11937" max="11937" width="14.44140625" style="737" customWidth="1"/>
    <col min="11938" max="11938" width="5.5546875" style="737" customWidth="1"/>
    <col min="11939" max="11939" width="16" style="737" bestFit="1" customWidth="1"/>
    <col min="11940" max="11945" width="10.33203125" style="737" customWidth="1"/>
    <col min="11946" max="11946" width="5.5546875" style="737" customWidth="1"/>
    <col min="11947" max="11947" width="9.5546875" style="737" customWidth="1"/>
    <col min="11948" max="11948" width="9.109375" style="737"/>
    <col min="11949" max="11949" width="5.44140625" style="737" customWidth="1"/>
    <col min="11950" max="11952" width="9.109375" style="737"/>
    <col min="11953" max="11953" width="5.44140625" style="737" customWidth="1"/>
    <col min="11954" max="11955" width="9.33203125" style="737" customWidth="1"/>
    <col min="11956" max="11956" width="5.44140625" style="737" customWidth="1"/>
    <col min="11957" max="11957" width="21.6640625" style="737" bestFit="1" customWidth="1"/>
    <col min="11958" max="11961" width="11.44140625" style="737" customWidth="1"/>
    <col min="11962" max="11962" width="5.44140625" style="737" customWidth="1"/>
    <col min="11963" max="11963" width="9.109375" style="737"/>
    <col min="11964" max="11964" width="5.5546875" style="737" customWidth="1"/>
    <col min="11965" max="11965" width="16.88671875" style="737" customWidth="1"/>
    <col min="11966" max="11968" width="14.5546875" style="737" customWidth="1"/>
    <col min="11969" max="11969" width="5.5546875" style="737" customWidth="1"/>
    <col min="11970" max="11971" width="9.109375" style="737"/>
    <col min="11972" max="11972" width="5.6640625" style="737" customWidth="1"/>
    <col min="11973" max="11973" width="9.109375" style="737"/>
    <col min="11974" max="11974" width="9" style="737" customWidth="1"/>
    <col min="11975" max="11975" width="9.44140625" style="737" bestFit="1" customWidth="1"/>
    <col min="11976" max="11976" width="10.44140625" style="737" bestFit="1" customWidth="1"/>
    <col min="11977" max="11980" width="9.44140625" style="737" bestFit="1" customWidth="1"/>
    <col min="11981" max="11981" width="5.6640625" style="737" customWidth="1"/>
    <col min="11982" max="11982" width="9.109375" style="737"/>
    <col min="11983" max="11983" width="5.6640625" style="737" customWidth="1"/>
    <col min="11984" max="11984" width="9.109375" style="737"/>
    <col min="11985" max="11985" width="9" style="737" customWidth="1"/>
    <col min="11986" max="11986" width="9.44140625" style="737" bestFit="1" customWidth="1"/>
    <col min="11987" max="11987" width="9.88671875" style="737" bestFit="1" customWidth="1"/>
    <col min="11988" max="11991" width="9.44140625" style="737" bestFit="1" customWidth="1"/>
    <col min="11992" max="11992" width="5.6640625" style="737" customWidth="1"/>
    <col min="11993" max="11993" width="9.109375" style="737"/>
    <col min="11994" max="11994" width="5.5546875" style="737" customWidth="1"/>
    <col min="11995" max="11995" width="16.44140625" style="737" customWidth="1"/>
    <col min="11996" max="11996" width="10.6640625" style="737" customWidth="1"/>
    <col min="11997" max="12002" width="9.5546875" style="737" customWidth="1"/>
    <col min="12003" max="12003" width="5.5546875" style="737" customWidth="1"/>
    <col min="12004" max="12005" width="9.109375" style="737"/>
    <col min="12006" max="12006" width="5.44140625" style="737" customWidth="1"/>
    <col min="12007" max="12007" width="8.109375" style="737" customWidth="1"/>
    <col min="12008" max="12008" width="9.33203125" style="737" customWidth="1"/>
    <col min="12009" max="12009" width="10.6640625" style="737" customWidth="1"/>
    <col min="12010" max="12010" width="9.33203125" style="737" customWidth="1"/>
    <col min="12011" max="12011" width="5.44140625" style="737" customWidth="1"/>
    <col min="12012" max="12012" width="9.109375" style="737"/>
    <col min="12013" max="12013" width="5.44140625" style="737" customWidth="1"/>
    <col min="12014" max="12016" width="9.44140625" style="737" customWidth="1"/>
    <col min="12017" max="12017" width="5.44140625" style="737" customWidth="1"/>
    <col min="12018" max="12019" width="9.109375" style="737"/>
    <col min="12020" max="12020" width="5.44140625" style="737" customWidth="1"/>
    <col min="12021" max="12021" width="13.5546875" style="737" customWidth="1"/>
    <col min="12022" max="12022" width="13.6640625" style="737" customWidth="1"/>
    <col min="12023" max="12023" width="13.5546875" style="737" customWidth="1"/>
    <col min="12024" max="12024" width="5.44140625" style="737" customWidth="1"/>
    <col min="12025" max="12026" width="9.109375" style="737"/>
    <col min="12027" max="12027" width="5.44140625" style="737" customWidth="1"/>
    <col min="12028" max="12028" width="11.109375" style="737" bestFit="1" customWidth="1"/>
    <col min="12029" max="12036" width="9.44140625" style="737" customWidth="1"/>
    <col min="12037" max="12037" width="5.44140625" style="737" customWidth="1"/>
    <col min="12038" max="12170" width="9.109375" style="737"/>
    <col min="12171" max="12171" width="5.88671875" style="737" customWidth="1"/>
    <col min="12172" max="12172" width="5.6640625" style="737" customWidth="1"/>
    <col min="12173" max="12173" width="35.5546875" style="737" customWidth="1"/>
    <col min="12174" max="12174" width="14.5546875" style="737" customWidth="1"/>
    <col min="12175" max="12175" width="14.44140625" style="737" customWidth="1"/>
    <col min="12176" max="12176" width="5.6640625" style="737" customWidth="1"/>
    <col min="12177" max="12177" width="14.5546875" style="737" customWidth="1"/>
    <col min="12178" max="12179" width="5.88671875" style="737" customWidth="1"/>
    <col min="12180" max="12180" width="26.6640625" style="737" customWidth="1"/>
    <col min="12181" max="12184" width="11.33203125" style="737" customWidth="1"/>
    <col min="12185" max="12185" width="5.5546875" style="737" customWidth="1"/>
    <col min="12186" max="12186" width="14.5546875" style="737" customWidth="1"/>
    <col min="12187" max="12187" width="5.6640625" style="737" customWidth="1"/>
    <col min="12188" max="12188" width="30.88671875" style="737" bestFit="1" customWidth="1"/>
    <col min="12189" max="12189" width="9.109375" style="737"/>
    <col min="12190" max="12190" width="10.88671875" style="737" bestFit="1" customWidth="1"/>
    <col min="12191" max="12191" width="42.44140625" style="737" customWidth="1"/>
    <col min="12192" max="12192" width="5.88671875" style="737" customWidth="1"/>
    <col min="12193" max="12193" width="14.44140625" style="737" customWidth="1"/>
    <col min="12194" max="12194" width="5.5546875" style="737" customWidth="1"/>
    <col min="12195" max="12195" width="16" style="737" bestFit="1" customWidth="1"/>
    <col min="12196" max="12201" width="10.33203125" style="737" customWidth="1"/>
    <col min="12202" max="12202" width="5.5546875" style="737" customWidth="1"/>
    <col min="12203" max="12203" width="9.5546875" style="737" customWidth="1"/>
    <col min="12204" max="12204" width="9.109375" style="737"/>
    <col min="12205" max="12205" width="5.44140625" style="737" customWidth="1"/>
    <col min="12206" max="12208" width="9.109375" style="737"/>
    <col min="12209" max="12209" width="5.44140625" style="737" customWidth="1"/>
    <col min="12210" max="12211" width="9.33203125" style="737" customWidth="1"/>
    <col min="12212" max="12212" width="5.44140625" style="737" customWidth="1"/>
    <col min="12213" max="12213" width="21.6640625" style="737" bestFit="1" customWidth="1"/>
    <col min="12214" max="12217" width="11.44140625" style="737" customWidth="1"/>
    <col min="12218" max="12218" width="5.44140625" style="737" customWidth="1"/>
    <col min="12219" max="12219" width="9.109375" style="737"/>
    <col min="12220" max="12220" width="5.5546875" style="737" customWidth="1"/>
    <col min="12221" max="12221" width="16.88671875" style="737" customWidth="1"/>
    <col min="12222" max="12224" width="14.5546875" style="737" customWidth="1"/>
    <col min="12225" max="12225" width="5.5546875" style="737" customWidth="1"/>
    <col min="12226" max="12227" width="9.109375" style="737"/>
    <col min="12228" max="12228" width="5.6640625" style="737" customWidth="1"/>
    <col min="12229" max="12229" width="9.109375" style="737"/>
    <col min="12230" max="12230" width="9" style="737" customWidth="1"/>
    <col min="12231" max="12231" width="9.44140625" style="737" bestFit="1" customWidth="1"/>
    <col min="12232" max="12232" width="10.44140625" style="737" bestFit="1" customWidth="1"/>
    <col min="12233" max="12236" width="9.44140625" style="737" bestFit="1" customWidth="1"/>
    <col min="12237" max="12237" width="5.6640625" style="737" customWidth="1"/>
    <col min="12238" max="12238" width="9.109375" style="737"/>
    <col min="12239" max="12239" width="5.6640625" style="737" customWidth="1"/>
    <col min="12240" max="12240" width="9.109375" style="737"/>
    <col min="12241" max="12241" width="9" style="737" customWidth="1"/>
    <col min="12242" max="12242" width="9.44140625" style="737" bestFit="1" customWidth="1"/>
    <col min="12243" max="12243" width="9.88671875" style="737" bestFit="1" customWidth="1"/>
    <col min="12244" max="12247" width="9.44140625" style="737" bestFit="1" customWidth="1"/>
    <col min="12248" max="12248" width="5.6640625" style="737" customWidth="1"/>
    <col min="12249" max="12249" width="9.109375" style="737"/>
    <col min="12250" max="12250" width="5.5546875" style="737" customWidth="1"/>
    <col min="12251" max="12251" width="16.44140625" style="737" customWidth="1"/>
    <col min="12252" max="12252" width="10.6640625" style="737" customWidth="1"/>
    <col min="12253" max="12258" width="9.5546875" style="737" customWidth="1"/>
    <col min="12259" max="12259" width="5.5546875" style="737" customWidth="1"/>
    <col min="12260" max="12261" width="9.109375" style="737"/>
    <col min="12262" max="12262" width="5.44140625" style="737" customWidth="1"/>
    <col min="12263" max="12263" width="8.109375" style="737" customWidth="1"/>
    <col min="12264" max="12264" width="9.33203125" style="737" customWidth="1"/>
    <col min="12265" max="12265" width="10.6640625" style="737" customWidth="1"/>
    <col min="12266" max="12266" width="9.33203125" style="737" customWidth="1"/>
    <col min="12267" max="12267" width="5.44140625" style="737" customWidth="1"/>
    <col min="12268" max="12268" width="9.109375" style="737"/>
    <col min="12269" max="12269" width="5.44140625" style="737" customWidth="1"/>
    <col min="12270" max="12272" width="9.44140625" style="737" customWidth="1"/>
    <col min="12273" max="12273" width="5.44140625" style="737" customWidth="1"/>
    <col min="12274" max="12275" width="9.109375" style="737"/>
    <col min="12276" max="12276" width="5.44140625" style="737" customWidth="1"/>
    <col min="12277" max="12277" width="13.5546875" style="737" customWidth="1"/>
    <col min="12278" max="12278" width="13.6640625" style="737" customWidth="1"/>
    <col min="12279" max="12279" width="13.5546875" style="737" customWidth="1"/>
    <col min="12280" max="12280" width="5.44140625" style="737" customWidth="1"/>
    <col min="12281" max="12282" width="9.109375" style="737"/>
    <col min="12283" max="12283" width="5.44140625" style="737" customWidth="1"/>
    <col min="12284" max="12284" width="11.109375" style="737" bestFit="1" customWidth="1"/>
    <col min="12285" max="12292" width="9.44140625" style="737" customWidth="1"/>
    <col min="12293" max="12293" width="5.44140625" style="737" customWidth="1"/>
    <col min="12294" max="12426" width="9.109375" style="737"/>
    <col min="12427" max="12427" width="5.88671875" style="737" customWidth="1"/>
    <col min="12428" max="12428" width="5.6640625" style="737" customWidth="1"/>
    <col min="12429" max="12429" width="35.5546875" style="737" customWidth="1"/>
    <col min="12430" max="12430" width="14.5546875" style="737" customWidth="1"/>
    <col min="12431" max="12431" width="14.44140625" style="737" customWidth="1"/>
    <col min="12432" max="12432" width="5.6640625" style="737" customWidth="1"/>
    <col min="12433" max="12433" width="14.5546875" style="737" customWidth="1"/>
    <col min="12434" max="12435" width="5.88671875" style="737" customWidth="1"/>
    <col min="12436" max="12436" width="26.6640625" style="737" customWidth="1"/>
    <col min="12437" max="12440" width="11.33203125" style="737" customWidth="1"/>
    <col min="12441" max="12441" width="5.5546875" style="737" customWidth="1"/>
    <col min="12442" max="12442" width="14.5546875" style="737" customWidth="1"/>
    <col min="12443" max="12443" width="5.6640625" style="737" customWidth="1"/>
    <col min="12444" max="12444" width="30.88671875" style="737" bestFit="1" customWidth="1"/>
    <col min="12445" max="12445" width="9.109375" style="737"/>
    <col min="12446" max="12446" width="10.88671875" style="737" bestFit="1" customWidth="1"/>
    <col min="12447" max="12447" width="42.44140625" style="737" customWidth="1"/>
    <col min="12448" max="12448" width="5.88671875" style="737" customWidth="1"/>
    <col min="12449" max="12449" width="14.44140625" style="737" customWidth="1"/>
    <col min="12450" max="12450" width="5.5546875" style="737" customWidth="1"/>
    <col min="12451" max="12451" width="16" style="737" bestFit="1" customWidth="1"/>
    <col min="12452" max="12457" width="10.33203125" style="737" customWidth="1"/>
    <col min="12458" max="12458" width="5.5546875" style="737" customWidth="1"/>
    <col min="12459" max="12459" width="9.5546875" style="737" customWidth="1"/>
    <col min="12460" max="12460" width="9.109375" style="737"/>
    <col min="12461" max="12461" width="5.44140625" style="737" customWidth="1"/>
    <col min="12462" max="12464" width="9.109375" style="737"/>
    <col min="12465" max="12465" width="5.44140625" style="737" customWidth="1"/>
    <col min="12466" max="12467" width="9.33203125" style="737" customWidth="1"/>
    <col min="12468" max="12468" width="5.44140625" style="737" customWidth="1"/>
    <col min="12469" max="12469" width="21.6640625" style="737" bestFit="1" customWidth="1"/>
    <col min="12470" max="12473" width="11.44140625" style="737" customWidth="1"/>
    <col min="12474" max="12474" width="5.44140625" style="737" customWidth="1"/>
    <col min="12475" max="12475" width="9.109375" style="737"/>
    <col min="12476" max="12476" width="5.5546875" style="737" customWidth="1"/>
    <col min="12477" max="12477" width="16.88671875" style="737" customWidth="1"/>
    <col min="12478" max="12480" width="14.5546875" style="737" customWidth="1"/>
    <col min="12481" max="12481" width="5.5546875" style="737" customWidth="1"/>
    <col min="12482" max="12483" width="9.109375" style="737"/>
    <col min="12484" max="12484" width="5.6640625" style="737" customWidth="1"/>
    <col min="12485" max="12485" width="9.109375" style="737"/>
    <col min="12486" max="12486" width="9" style="737" customWidth="1"/>
    <col min="12487" max="12487" width="9.44140625" style="737" bestFit="1" customWidth="1"/>
    <col min="12488" max="12488" width="10.44140625" style="737" bestFit="1" customWidth="1"/>
    <col min="12489" max="12492" width="9.44140625" style="737" bestFit="1" customWidth="1"/>
    <col min="12493" max="12493" width="5.6640625" style="737" customWidth="1"/>
    <col min="12494" max="12494" width="9.109375" style="737"/>
    <col min="12495" max="12495" width="5.6640625" style="737" customWidth="1"/>
    <col min="12496" max="12496" width="9.109375" style="737"/>
    <col min="12497" max="12497" width="9" style="737" customWidth="1"/>
    <col min="12498" max="12498" width="9.44140625" style="737" bestFit="1" customWidth="1"/>
    <col min="12499" max="12499" width="9.88671875" style="737" bestFit="1" customWidth="1"/>
    <col min="12500" max="12503" width="9.44140625" style="737" bestFit="1" customWidth="1"/>
    <col min="12504" max="12504" width="5.6640625" style="737" customWidth="1"/>
    <col min="12505" max="12505" width="9.109375" style="737"/>
    <col min="12506" max="12506" width="5.5546875" style="737" customWidth="1"/>
    <col min="12507" max="12507" width="16.44140625" style="737" customWidth="1"/>
    <col min="12508" max="12508" width="10.6640625" style="737" customWidth="1"/>
    <col min="12509" max="12514" width="9.5546875" style="737" customWidth="1"/>
    <col min="12515" max="12515" width="5.5546875" style="737" customWidth="1"/>
    <col min="12516" max="12517" width="9.109375" style="737"/>
    <col min="12518" max="12518" width="5.44140625" style="737" customWidth="1"/>
    <col min="12519" max="12519" width="8.109375" style="737" customWidth="1"/>
    <col min="12520" max="12520" width="9.33203125" style="737" customWidth="1"/>
    <col min="12521" max="12521" width="10.6640625" style="737" customWidth="1"/>
    <col min="12522" max="12522" width="9.33203125" style="737" customWidth="1"/>
    <col min="12523" max="12523" width="5.44140625" style="737" customWidth="1"/>
    <col min="12524" max="12524" width="9.109375" style="737"/>
    <col min="12525" max="12525" width="5.44140625" style="737" customWidth="1"/>
    <col min="12526" max="12528" width="9.44140625" style="737" customWidth="1"/>
    <col min="12529" max="12529" width="5.44140625" style="737" customWidth="1"/>
    <col min="12530" max="12531" width="9.109375" style="737"/>
    <col min="12532" max="12532" width="5.44140625" style="737" customWidth="1"/>
    <col min="12533" max="12533" width="13.5546875" style="737" customWidth="1"/>
    <col min="12534" max="12534" width="13.6640625" style="737" customWidth="1"/>
    <col min="12535" max="12535" width="13.5546875" style="737" customWidth="1"/>
    <col min="12536" max="12536" width="5.44140625" style="737" customWidth="1"/>
    <col min="12537" max="12538" width="9.109375" style="737"/>
    <col min="12539" max="12539" width="5.44140625" style="737" customWidth="1"/>
    <col min="12540" max="12540" width="11.109375" style="737" bestFit="1" customWidth="1"/>
    <col min="12541" max="12548" width="9.44140625" style="737" customWidth="1"/>
    <col min="12549" max="12549" width="5.44140625" style="737" customWidth="1"/>
    <col min="12550" max="12682" width="9.109375" style="737"/>
    <col min="12683" max="12683" width="5.88671875" style="737" customWidth="1"/>
    <col min="12684" max="12684" width="5.6640625" style="737" customWidth="1"/>
    <col min="12685" max="12685" width="35.5546875" style="737" customWidth="1"/>
    <col min="12686" max="12686" width="14.5546875" style="737" customWidth="1"/>
    <col min="12687" max="12687" width="14.44140625" style="737" customWidth="1"/>
    <col min="12688" max="12688" width="5.6640625" style="737" customWidth="1"/>
    <col min="12689" max="12689" width="14.5546875" style="737" customWidth="1"/>
    <col min="12690" max="12691" width="5.88671875" style="737" customWidth="1"/>
    <col min="12692" max="12692" width="26.6640625" style="737" customWidth="1"/>
    <col min="12693" max="12696" width="11.33203125" style="737" customWidth="1"/>
    <col min="12697" max="12697" width="5.5546875" style="737" customWidth="1"/>
    <col min="12698" max="12698" width="14.5546875" style="737" customWidth="1"/>
    <col min="12699" max="12699" width="5.6640625" style="737" customWidth="1"/>
    <col min="12700" max="12700" width="30.88671875" style="737" bestFit="1" customWidth="1"/>
    <col min="12701" max="12701" width="9.109375" style="737"/>
    <col min="12702" max="12702" width="10.88671875" style="737" bestFit="1" customWidth="1"/>
    <col min="12703" max="12703" width="42.44140625" style="737" customWidth="1"/>
    <col min="12704" max="12704" width="5.88671875" style="737" customWidth="1"/>
    <col min="12705" max="12705" width="14.44140625" style="737" customWidth="1"/>
    <col min="12706" max="12706" width="5.5546875" style="737" customWidth="1"/>
    <col min="12707" max="12707" width="16" style="737" bestFit="1" customWidth="1"/>
    <col min="12708" max="12713" width="10.33203125" style="737" customWidth="1"/>
    <col min="12714" max="12714" width="5.5546875" style="737" customWidth="1"/>
    <col min="12715" max="12715" width="9.5546875" style="737" customWidth="1"/>
    <col min="12716" max="12716" width="9.109375" style="737"/>
    <col min="12717" max="12717" width="5.44140625" style="737" customWidth="1"/>
    <col min="12718" max="12720" width="9.109375" style="737"/>
    <col min="12721" max="12721" width="5.44140625" style="737" customWidth="1"/>
    <col min="12722" max="12723" width="9.33203125" style="737" customWidth="1"/>
    <col min="12724" max="12724" width="5.44140625" style="737" customWidth="1"/>
    <col min="12725" max="12725" width="21.6640625" style="737" bestFit="1" customWidth="1"/>
    <col min="12726" max="12729" width="11.44140625" style="737" customWidth="1"/>
    <col min="12730" max="12730" width="5.44140625" style="737" customWidth="1"/>
    <col min="12731" max="12731" width="9.109375" style="737"/>
    <col min="12732" max="12732" width="5.5546875" style="737" customWidth="1"/>
    <col min="12733" max="12733" width="16.88671875" style="737" customWidth="1"/>
    <col min="12734" max="12736" width="14.5546875" style="737" customWidth="1"/>
    <col min="12737" max="12737" width="5.5546875" style="737" customWidth="1"/>
    <col min="12738" max="12739" width="9.109375" style="737"/>
    <col min="12740" max="12740" width="5.6640625" style="737" customWidth="1"/>
    <col min="12741" max="12741" width="9.109375" style="737"/>
    <col min="12742" max="12742" width="9" style="737" customWidth="1"/>
    <col min="12743" max="12743" width="9.44140625" style="737" bestFit="1" customWidth="1"/>
    <col min="12744" max="12744" width="10.44140625" style="737" bestFit="1" customWidth="1"/>
    <col min="12745" max="12748" width="9.44140625" style="737" bestFit="1" customWidth="1"/>
    <col min="12749" max="12749" width="5.6640625" style="737" customWidth="1"/>
    <col min="12750" max="12750" width="9.109375" style="737"/>
    <col min="12751" max="12751" width="5.6640625" style="737" customWidth="1"/>
    <col min="12752" max="12752" width="9.109375" style="737"/>
    <col min="12753" max="12753" width="9" style="737" customWidth="1"/>
    <col min="12754" max="12754" width="9.44140625" style="737" bestFit="1" customWidth="1"/>
    <col min="12755" max="12755" width="9.88671875" style="737" bestFit="1" customWidth="1"/>
    <col min="12756" max="12759" width="9.44140625" style="737" bestFit="1" customWidth="1"/>
    <col min="12760" max="12760" width="5.6640625" style="737" customWidth="1"/>
    <col min="12761" max="12761" width="9.109375" style="737"/>
    <col min="12762" max="12762" width="5.5546875" style="737" customWidth="1"/>
    <col min="12763" max="12763" width="16.44140625" style="737" customWidth="1"/>
    <col min="12764" max="12764" width="10.6640625" style="737" customWidth="1"/>
    <col min="12765" max="12770" width="9.5546875" style="737" customWidth="1"/>
    <col min="12771" max="12771" width="5.5546875" style="737" customWidth="1"/>
    <col min="12772" max="12773" width="9.109375" style="737"/>
    <col min="12774" max="12774" width="5.44140625" style="737" customWidth="1"/>
    <col min="12775" max="12775" width="8.109375" style="737" customWidth="1"/>
    <col min="12776" max="12776" width="9.33203125" style="737" customWidth="1"/>
    <col min="12777" max="12777" width="10.6640625" style="737" customWidth="1"/>
    <col min="12778" max="12778" width="9.33203125" style="737" customWidth="1"/>
    <col min="12779" max="12779" width="5.44140625" style="737" customWidth="1"/>
    <col min="12780" max="12780" width="9.109375" style="737"/>
    <col min="12781" max="12781" width="5.44140625" style="737" customWidth="1"/>
    <col min="12782" max="12784" width="9.44140625" style="737" customWidth="1"/>
    <col min="12785" max="12785" width="5.44140625" style="737" customWidth="1"/>
    <col min="12786" max="12787" width="9.109375" style="737"/>
    <col min="12788" max="12788" width="5.44140625" style="737" customWidth="1"/>
    <col min="12789" max="12789" width="13.5546875" style="737" customWidth="1"/>
    <col min="12790" max="12790" width="13.6640625" style="737" customWidth="1"/>
    <col min="12791" max="12791" width="13.5546875" style="737" customWidth="1"/>
    <col min="12792" max="12792" width="5.44140625" style="737" customWidth="1"/>
    <col min="12793" max="12794" width="9.109375" style="737"/>
    <col min="12795" max="12795" width="5.44140625" style="737" customWidth="1"/>
    <col min="12796" max="12796" width="11.109375" style="737" bestFit="1" customWidth="1"/>
    <col min="12797" max="12804" width="9.44140625" style="737" customWidth="1"/>
    <col min="12805" max="12805" width="5.44140625" style="737" customWidth="1"/>
    <col min="12806" max="12938" width="9.109375" style="737"/>
    <col min="12939" max="12939" width="5.88671875" style="737" customWidth="1"/>
    <col min="12940" max="12940" width="5.6640625" style="737" customWidth="1"/>
    <col min="12941" max="12941" width="35.5546875" style="737" customWidth="1"/>
    <col min="12942" max="12942" width="14.5546875" style="737" customWidth="1"/>
    <col min="12943" max="12943" width="14.44140625" style="737" customWidth="1"/>
    <col min="12944" max="12944" width="5.6640625" style="737" customWidth="1"/>
    <col min="12945" max="12945" width="14.5546875" style="737" customWidth="1"/>
    <col min="12946" max="12947" width="5.88671875" style="737" customWidth="1"/>
    <col min="12948" max="12948" width="26.6640625" style="737" customWidth="1"/>
    <col min="12949" max="12952" width="11.33203125" style="737" customWidth="1"/>
    <col min="12953" max="12953" width="5.5546875" style="737" customWidth="1"/>
    <col min="12954" max="12954" width="14.5546875" style="737" customWidth="1"/>
    <col min="12955" max="12955" width="5.6640625" style="737" customWidth="1"/>
    <col min="12956" max="12956" width="30.88671875" style="737" bestFit="1" customWidth="1"/>
    <col min="12957" max="12957" width="9.109375" style="737"/>
    <col min="12958" max="12958" width="10.88671875" style="737" bestFit="1" customWidth="1"/>
    <col min="12959" max="12959" width="42.44140625" style="737" customWidth="1"/>
    <col min="12960" max="12960" width="5.88671875" style="737" customWidth="1"/>
    <col min="12961" max="12961" width="14.44140625" style="737" customWidth="1"/>
    <col min="12962" max="12962" width="5.5546875" style="737" customWidth="1"/>
    <col min="12963" max="12963" width="16" style="737" bestFit="1" customWidth="1"/>
    <col min="12964" max="12969" width="10.33203125" style="737" customWidth="1"/>
    <col min="12970" max="12970" width="5.5546875" style="737" customWidth="1"/>
    <col min="12971" max="12971" width="9.5546875" style="737" customWidth="1"/>
    <col min="12972" max="12972" width="9.109375" style="737"/>
    <col min="12973" max="12973" width="5.44140625" style="737" customWidth="1"/>
    <col min="12974" max="12976" width="9.109375" style="737"/>
    <col min="12977" max="12977" width="5.44140625" style="737" customWidth="1"/>
    <col min="12978" max="12979" width="9.33203125" style="737" customWidth="1"/>
    <col min="12980" max="12980" width="5.44140625" style="737" customWidth="1"/>
    <col min="12981" max="12981" width="21.6640625" style="737" bestFit="1" customWidth="1"/>
    <col min="12982" max="12985" width="11.44140625" style="737" customWidth="1"/>
    <col min="12986" max="12986" width="5.44140625" style="737" customWidth="1"/>
    <col min="12987" max="12987" width="9.109375" style="737"/>
    <col min="12988" max="12988" width="5.5546875" style="737" customWidth="1"/>
    <col min="12989" max="12989" width="16.88671875" style="737" customWidth="1"/>
    <col min="12990" max="12992" width="14.5546875" style="737" customWidth="1"/>
    <col min="12993" max="12993" width="5.5546875" style="737" customWidth="1"/>
    <col min="12994" max="12995" width="9.109375" style="737"/>
    <col min="12996" max="12996" width="5.6640625" style="737" customWidth="1"/>
    <col min="12997" max="12997" width="9.109375" style="737"/>
    <col min="12998" max="12998" width="9" style="737" customWidth="1"/>
    <col min="12999" max="12999" width="9.44140625" style="737" bestFit="1" customWidth="1"/>
    <col min="13000" max="13000" width="10.44140625" style="737" bestFit="1" customWidth="1"/>
    <col min="13001" max="13004" width="9.44140625" style="737" bestFit="1" customWidth="1"/>
    <col min="13005" max="13005" width="5.6640625" style="737" customWidth="1"/>
    <col min="13006" max="13006" width="9.109375" style="737"/>
    <col min="13007" max="13007" width="5.6640625" style="737" customWidth="1"/>
    <col min="13008" max="13008" width="9.109375" style="737"/>
    <col min="13009" max="13009" width="9" style="737" customWidth="1"/>
    <col min="13010" max="13010" width="9.44140625" style="737" bestFit="1" customWidth="1"/>
    <col min="13011" max="13011" width="9.88671875" style="737" bestFit="1" customWidth="1"/>
    <col min="13012" max="13015" width="9.44140625" style="737" bestFit="1" customWidth="1"/>
    <col min="13016" max="13016" width="5.6640625" style="737" customWidth="1"/>
    <col min="13017" max="13017" width="9.109375" style="737"/>
    <col min="13018" max="13018" width="5.5546875" style="737" customWidth="1"/>
    <col min="13019" max="13019" width="16.44140625" style="737" customWidth="1"/>
    <col min="13020" max="13020" width="10.6640625" style="737" customWidth="1"/>
    <col min="13021" max="13026" width="9.5546875" style="737" customWidth="1"/>
    <col min="13027" max="13027" width="5.5546875" style="737" customWidth="1"/>
    <col min="13028" max="13029" width="9.109375" style="737"/>
    <col min="13030" max="13030" width="5.44140625" style="737" customWidth="1"/>
    <col min="13031" max="13031" width="8.109375" style="737" customWidth="1"/>
    <col min="13032" max="13032" width="9.33203125" style="737" customWidth="1"/>
    <col min="13033" max="13033" width="10.6640625" style="737" customWidth="1"/>
    <col min="13034" max="13034" width="9.33203125" style="737" customWidth="1"/>
    <col min="13035" max="13035" width="5.44140625" style="737" customWidth="1"/>
    <col min="13036" max="13036" width="9.109375" style="737"/>
    <col min="13037" max="13037" width="5.44140625" style="737" customWidth="1"/>
    <col min="13038" max="13040" width="9.44140625" style="737" customWidth="1"/>
    <col min="13041" max="13041" width="5.44140625" style="737" customWidth="1"/>
    <col min="13042" max="13043" width="9.109375" style="737"/>
    <col min="13044" max="13044" width="5.44140625" style="737" customWidth="1"/>
    <col min="13045" max="13045" width="13.5546875" style="737" customWidth="1"/>
    <col min="13046" max="13046" width="13.6640625" style="737" customWidth="1"/>
    <col min="13047" max="13047" width="13.5546875" style="737" customWidth="1"/>
    <col min="13048" max="13048" width="5.44140625" style="737" customWidth="1"/>
    <col min="13049" max="13050" width="9.109375" style="737"/>
    <col min="13051" max="13051" width="5.44140625" style="737" customWidth="1"/>
    <col min="13052" max="13052" width="11.109375" style="737" bestFit="1" customWidth="1"/>
    <col min="13053" max="13060" width="9.44140625" style="737" customWidth="1"/>
    <col min="13061" max="13061" width="5.44140625" style="737" customWidth="1"/>
    <col min="13062" max="13194" width="9.109375" style="737"/>
    <col min="13195" max="13195" width="5.88671875" style="737" customWidth="1"/>
    <col min="13196" max="13196" width="5.6640625" style="737" customWidth="1"/>
    <col min="13197" max="13197" width="35.5546875" style="737" customWidth="1"/>
    <col min="13198" max="13198" width="14.5546875" style="737" customWidth="1"/>
    <col min="13199" max="13199" width="14.44140625" style="737" customWidth="1"/>
    <col min="13200" max="13200" width="5.6640625" style="737" customWidth="1"/>
    <col min="13201" max="13201" width="14.5546875" style="737" customWidth="1"/>
    <col min="13202" max="13203" width="5.88671875" style="737" customWidth="1"/>
    <col min="13204" max="13204" width="26.6640625" style="737" customWidth="1"/>
    <col min="13205" max="13208" width="11.33203125" style="737" customWidth="1"/>
    <col min="13209" max="13209" width="5.5546875" style="737" customWidth="1"/>
    <col min="13210" max="13210" width="14.5546875" style="737" customWidth="1"/>
    <col min="13211" max="13211" width="5.6640625" style="737" customWidth="1"/>
    <col min="13212" max="13212" width="30.88671875" style="737" bestFit="1" customWidth="1"/>
    <col min="13213" max="13213" width="9.109375" style="737"/>
    <col min="13214" max="13214" width="10.88671875" style="737" bestFit="1" customWidth="1"/>
    <col min="13215" max="13215" width="42.44140625" style="737" customWidth="1"/>
    <col min="13216" max="13216" width="5.88671875" style="737" customWidth="1"/>
    <col min="13217" max="13217" width="14.44140625" style="737" customWidth="1"/>
    <col min="13218" max="13218" width="5.5546875" style="737" customWidth="1"/>
    <col min="13219" max="13219" width="16" style="737" bestFit="1" customWidth="1"/>
    <col min="13220" max="13225" width="10.33203125" style="737" customWidth="1"/>
    <col min="13226" max="13226" width="5.5546875" style="737" customWidth="1"/>
    <col min="13227" max="13227" width="9.5546875" style="737" customWidth="1"/>
    <col min="13228" max="13228" width="9.109375" style="737"/>
    <col min="13229" max="13229" width="5.44140625" style="737" customWidth="1"/>
    <col min="13230" max="13232" width="9.109375" style="737"/>
    <col min="13233" max="13233" width="5.44140625" style="737" customWidth="1"/>
    <col min="13234" max="13235" width="9.33203125" style="737" customWidth="1"/>
    <col min="13236" max="13236" width="5.44140625" style="737" customWidth="1"/>
    <col min="13237" max="13237" width="21.6640625" style="737" bestFit="1" customWidth="1"/>
    <col min="13238" max="13241" width="11.44140625" style="737" customWidth="1"/>
    <col min="13242" max="13242" width="5.44140625" style="737" customWidth="1"/>
    <col min="13243" max="13243" width="9.109375" style="737"/>
    <col min="13244" max="13244" width="5.5546875" style="737" customWidth="1"/>
    <col min="13245" max="13245" width="16.88671875" style="737" customWidth="1"/>
    <col min="13246" max="13248" width="14.5546875" style="737" customWidth="1"/>
    <col min="13249" max="13249" width="5.5546875" style="737" customWidth="1"/>
    <col min="13250" max="13251" width="9.109375" style="737"/>
    <col min="13252" max="13252" width="5.6640625" style="737" customWidth="1"/>
    <col min="13253" max="13253" width="9.109375" style="737"/>
    <col min="13254" max="13254" width="9" style="737" customWidth="1"/>
    <col min="13255" max="13255" width="9.44140625" style="737" bestFit="1" customWidth="1"/>
    <col min="13256" max="13256" width="10.44140625" style="737" bestFit="1" customWidth="1"/>
    <col min="13257" max="13260" width="9.44140625" style="737" bestFit="1" customWidth="1"/>
    <col min="13261" max="13261" width="5.6640625" style="737" customWidth="1"/>
    <col min="13262" max="13262" width="9.109375" style="737"/>
    <col min="13263" max="13263" width="5.6640625" style="737" customWidth="1"/>
    <col min="13264" max="13264" width="9.109375" style="737"/>
    <col min="13265" max="13265" width="9" style="737" customWidth="1"/>
    <col min="13266" max="13266" width="9.44140625" style="737" bestFit="1" customWidth="1"/>
    <col min="13267" max="13267" width="9.88671875" style="737" bestFit="1" customWidth="1"/>
    <col min="13268" max="13271" width="9.44140625" style="737" bestFit="1" customWidth="1"/>
    <col min="13272" max="13272" width="5.6640625" style="737" customWidth="1"/>
    <col min="13273" max="13273" width="9.109375" style="737"/>
    <col min="13274" max="13274" width="5.5546875" style="737" customWidth="1"/>
    <col min="13275" max="13275" width="16.44140625" style="737" customWidth="1"/>
    <col min="13276" max="13276" width="10.6640625" style="737" customWidth="1"/>
    <col min="13277" max="13282" width="9.5546875" style="737" customWidth="1"/>
    <col min="13283" max="13283" width="5.5546875" style="737" customWidth="1"/>
    <col min="13284" max="13285" width="9.109375" style="737"/>
    <col min="13286" max="13286" width="5.44140625" style="737" customWidth="1"/>
    <col min="13287" max="13287" width="8.109375" style="737" customWidth="1"/>
    <col min="13288" max="13288" width="9.33203125" style="737" customWidth="1"/>
    <col min="13289" max="13289" width="10.6640625" style="737" customWidth="1"/>
    <col min="13290" max="13290" width="9.33203125" style="737" customWidth="1"/>
    <col min="13291" max="13291" width="5.44140625" style="737" customWidth="1"/>
    <col min="13292" max="13292" width="9.109375" style="737"/>
    <col min="13293" max="13293" width="5.44140625" style="737" customWidth="1"/>
    <col min="13294" max="13296" width="9.44140625" style="737" customWidth="1"/>
    <col min="13297" max="13297" width="5.44140625" style="737" customWidth="1"/>
    <col min="13298" max="13299" width="9.109375" style="737"/>
    <col min="13300" max="13300" width="5.44140625" style="737" customWidth="1"/>
    <col min="13301" max="13301" width="13.5546875" style="737" customWidth="1"/>
    <col min="13302" max="13302" width="13.6640625" style="737" customWidth="1"/>
    <col min="13303" max="13303" width="13.5546875" style="737" customWidth="1"/>
    <col min="13304" max="13304" width="5.44140625" style="737" customWidth="1"/>
    <col min="13305" max="13306" width="9.109375" style="737"/>
    <col min="13307" max="13307" width="5.44140625" style="737" customWidth="1"/>
    <col min="13308" max="13308" width="11.109375" style="737" bestFit="1" customWidth="1"/>
    <col min="13309" max="13316" width="9.44140625" style="737" customWidth="1"/>
    <col min="13317" max="13317" width="5.44140625" style="737" customWidth="1"/>
    <col min="13318" max="13450" width="9.109375" style="737"/>
    <col min="13451" max="13451" width="5.88671875" style="737" customWidth="1"/>
    <col min="13452" max="13452" width="5.6640625" style="737" customWidth="1"/>
    <col min="13453" max="13453" width="35.5546875" style="737" customWidth="1"/>
    <col min="13454" max="13454" width="14.5546875" style="737" customWidth="1"/>
    <col min="13455" max="13455" width="14.44140625" style="737" customWidth="1"/>
    <col min="13456" max="13456" width="5.6640625" style="737" customWidth="1"/>
    <col min="13457" max="13457" width="14.5546875" style="737" customWidth="1"/>
    <col min="13458" max="13459" width="5.88671875" style="737" customWidth="1"/>
    <col min="13460" max="13460" width="26.6640625" style="737" customWidth="1"/>
    <col min="13461" max="13464" width="11.33203125" style="737" customWidth="1"/>
    <col min="13465" max="13465" width="5.5546875" style="737" customWidth="1"/>
    <col min="13466" max="13466" width="14.5546875" style="737" customWidth="1"/>
    <col min="13467" max="13467" width="5.6640625" style="737" customWidth="1"/>
    <col min="13468" max="13468" width="30.88671875" style="737" bestFit="1" customWidth="1"/>
    <col min="13469" max="13469" width="9.109375" style="737"/>
    <col min="13470" max="13470" width="10.88671875" style="737" bestFit="1" customWidth="1"/>
    <col min="13471" max="13471" width="42.44140625" style="737" customWidth="1"/>
    <col min="13472" max="13472" width="5.88671875" style="737" customWidth="1"/>
    <col min="13473" max="13473" width="14.44140625" style="737" customWidth="1"/>
    <col min="13474" max="13474" width="5.5546875" style="737" customWidth="1"/>
    <col min="13475" max="13475" width="16" style="737" bestFit="1" customWidth="1"/>
    <col min="13476" max="13481" width="10.33203125" style="737" customWidth="1"/>
    <col min="13482" max="13482" width="5.5546875" style="737" customWidth="1"/>
    <col min="13483" max="13483" width="9.5546875" style="737" customWidth="1"/>
    <col min="13484" max="13484" width="9.109375" style="737"/>
    <col min="13485" max="13485" width="5.44140625" style="737" customWidth="1"/>
    <col min="13486" max="13488" width="9.109375" style="737"/>
    <col min="13489" max="13489" width="5.44140625" style="737" customWidth="1"/>
    <col min="13490" max="13491" width="9.33203125" style="737" customWidth="1"/>
    <col min="13492" max="13492" width="5.44140625" style="737" customWidth="1"/>
    <col min="13493" max="13493" width="21.6640625" style="737" bestFit="1" customWidth="1"/>
    <col min="13494" max="13497" width="11.44140625" style="737" customWidth="1"/>
    <col min="13498" max="13498" width="5.44140625" style="737" customWidth="1"/>
    <col min="13499" max="13499" width="9.109375" style="737"/>
    <col min="13500" max="13500" width="5.5546875" style="737" customWidth="1"/>
    <col min="13501" max="13501" width="16.88671875" style="737" customWidth="1"/>
    <col min="13502" max="13504" width="14.5546875" style="737" customWidth="1"/>
    <col min="13505" max="13505" width="5.5546875" style="737" customWidth="1"/>
    <col min="13506" max="13507" width="9.109375" style="737"/>
    <col min="13508" max="13508" width="5.6640625" style="737" customWidth="1"/>
    <col min="13509" max="13509" width="9.109375" style="737"/>
    <col min="13510" max="13510" width="9" style="737" customWidth="1"/>
    <col min="13511" max="13511" width="9.44140625" style="737" bestFit="1" customWidth="1"/>
    <col min="13512" max="13512" width="10.44140625" style="737" bestFit="1" customWidth="1"/>
    <col min="13513" max="13516" width="9.44140625" style="737" bestFit="1" customWidth="1"/>
    <col min="13517" max="13517" width="5.6640625" style="737" customWidth="1"/>
    <col min="13518" max="13518" width="9.109375" style="737"/>
    <col min="13519" max="13519" width="5.6640625" style="737" customWidth="1"/>
    <col min="13520" max="13520" width="9.109375" style="737"/>
    <col min="13521" max="13521" width="9" style="737" customWidth="1"/>
    <col min="13522" max="13522" width="9.44140625" style="737" bestFit="1" customWidth="1"/>
    <col min="13523" max="13523" width="9.88671875" style="737" bestFit="1" customWidth="1"/>
    <col min="13524" max="13527" width="9.44140625" style="737" bestFit="1" customWidth="1"/>
    <col min="13528" max="13528" width="5.6640625" style="737" customWidth="1"/>
    <col min="13529" max="13529" width="9.109375" style="737"/>
    <col min="13530" max="13530" width="5.5546875" style="737" customWidth="1"/>
    <col min="13531" max="13531" width="16.44140625" style="737" customWidth="1"/>
    <col min="13532" max="13532" width="10.6640625" style="737" customWidth="1"/>
    <col min="13533" max="13538" width="9.5546875" style="737" customWidth="1"/>
    <col min="13539" max="13539" width="5.5546875" style="737" customWidth="1"/>
    <col min="13540" max="13541" width="9.109375" style="737"/>
    <col min="13542" max="13542" width="5.44140625" style="737" customWidth="1"/>
    <col min="13543" max="13543" width="8.109375" style="737" customWidth="1"/>
    <col min="13544" max="13544" width="9.33203125" style="737" customWidth="1"/>
    <col min="13545" max="13545" width="10.6640625" style="737" customWidth="1"/>
    <col min="13546" max="13546" width="9.33203125" style="737" customWidth="1"/>
    <col min="13547" max="13547" width="5.44140625" style="737" customWidth="1"/>
    <col min="13548" max="13548" width="9.109375" style="737"/>
    <col min="13549" max="13549" width="5.44140625" style="737" customWidth="1"/>
    <col min="13550" max="13552" width="9.44140625" style="737" customWidth="1"/>
    <col min="13553" max="13553" width="5.44140625" style="737" customWidth="1"/>
    <col min="13554" max="13555" width="9.109375" style="737"/>
    <col min="13556" max="13556" width="5.44140625" style="737" customWidth="1"/>
    <col min="13557" max="13557" width="13.5546875" style="737" customWidth="1"/>
    <col min="13558" max="13558" width="13.6640625" style="737" customWidth="1"/>
    <col min="13559" max="13559" width="13.5546875" style="737" customWidth="1"/>
    <col min="13560" max="13560" width="5.44140625" style="737" customWidth="1"/>
    <col min="13561" max="13562" width="9.109375" style="737"/>
    <col min="13563" max="13563" width="5.44140625" style="737" customWidth="1"/>
    <col min="13564" max="13564" width="11.109375" style="737" bestFit="1" customWidth="1"/>
    <col min="13565" max="13572" width="9.44140625" style="737" customWidth="1"/>
    <col min="13573" max="13573" width="5.44140625" style="737" customWidth="1"/>
    <col min="13574" max="13706" width="9.109375" style="737"/>
    <col min="13707" max="13707" width="5.88671875" style="737" customWidth="1"/>
    <col min="13708" max="13708" width="5.6640625" style="737" customWidth="1"/>
    <col min="13709" max="13709" width="35.5546875" style="737" customWidth="1"/>
    <col min="13710" max="13710" width="14.5546875" style="737" customWidth="1"/>
    <col min="13711" max="13711" width="14.44140625" style="737" customWidth="1"/>
    <col min="13712" max="13712" width="5.6640625" style="737" customWidth="1"/>
    <col min="13713" max="13713" width="14.5546875" style="737" customWidth="1"/>
    <col min="13714" max="13715" width="5.88671875" style="737" customWidth="1"/>
    <col min="13716" max="13716" width="26.6640625" style="737" customWidth="1"/>
    <col min="13717" max="13720" width="11.33203125" style="737" customWidth="1"/>
    <col min="13721" max="13721" width="5.5546875" style="737" customWidth="1"/>
    <col min="13722" max="13722" width="14.5546875" style="737" customWidth="1"/>
    <col min="13723" max="13723" width="5.6640625" style="737" customWidth="1"/>
    <col min="13724" max="13724" width="30.88671875" style="737" bestFit="1" customWidth="1"/>
    <col min="13725" max="13725" width="9.109375" style="737"/>
    <col min="13726" max="13726" width="10.88671875" style="737" bestFit="1" customWidth="1"/>
    <col min="13727" max="13727" width="42.44140625" style="737" customWidth="1"/>
    <col min="13728" max="13728" width="5.88671875" style="737" customWidth="1"/>
    <col min="13729" max="13729" width="14.44140625" style="737" customWidth="1"/>
    <col min="13730" max="13730" width="5.5546875" style="737" customWidth="1"/>
    <col min="13731" max="13731" width="16" style="737" bestFit="1" customWidth="1"/>
    <col min="13732" max="13737" width="10.33203125" style="737" customWidth="1"/>
    <col min="13738" max="13738" width="5.5546875" style="737" customWidth="1"/>
    <col min="13739" max="13739" width="9.5546875" style="737" customWidth="1"/>
    <col min="13740" max="13740" width="9.109375" style="737"/>
    <col min="13741" max="13741" width="5.44140625" style="737" customWidth="1"/>
    <col min="13742" max="13744" width="9.109375" style="737"/>
    <col min="13745" max="13745" width="5.44140625" style="737" customWidth="1"/>
    <col min="13746" max="13747" width="9.33203125" style="737" customWidth="1"/>
    <col min="13748" max="13748" width="5.44140625" style="737" customWidth="1"/>
    <col min="13749" max="13749" width="21.6640625" style="737" bestFit="1" customWidth="1"/>
    <col min="13750" max="13753" width="11.44140625" style="737" customWidth="1"/>
    <col min="13754" max="13754" width="5.44140625" style="737" customWidth="1"/>
    <col min="13755" max="13755" width="9.109375" style="737"/>
    <col min="13756" max="13756" width="5.5546875" style="737" customWidth="1"/>
    <col min="13757" max="13757" width="16.88671875" style="737" customWidth="1"/>
    <col min="13758" max="13760" width="14.5546875" style="737" customWidth="1"/>
    <col min="13761" max="13761" width="5.5546875" style="737" customWidth="1"/>
    <col min="13762" max="13763" width="9.109375" style="737"/>
    <col min="13764" max="13764" width="5.6640625" style="737" customWidth="1"/>
    <col min="13765" max="13765" width="9.109375" style="737"/>
    <col min="13766" max="13766" width="9" style="737" customWidth="1"/>
    <col min="13767" max="13767" width="9.44140625" style="737" bestFit="1" customWidth="1"/>
    <col min="13768" max="13768" width="10.44140625" style="737" bestFit="1" customWidth="1"/>
    <col min="13769" max="13772" width="9.44140625" style="737" bestFit="1" customWidth="1"/>
    <col min="13773" max="13773" width="5.6640625" style="737" customWidth="1"/>
    <col min="13774" max="13774" width="9.109375" style="737"/>
    <col min="13775" max="13775" width="5.6640625" style="737" customWidth="1"/>
    <col min="13776" max="13776" width="9.109375" style="737"/>
    <col min="13777" max="13777" width="9" style="737" customWidth="1"/>
    <col min="13778" max="13778" width="9.44140625" style="737" bestFit="1" customWidth="1"/>
    <col min="13779" max="13779" width="9.88671875" style="737" bestFit="1" customWidth="1"/>
    <col min="13780" max="13783" width="9.44140625" style="737" bestFit="1" customWidth="1"/>
    <col min="13784" max="13784" width="5.6640625" style="737" customWidth="1"/>
    <col min="13785" max="13785" width="9.109375" style="737"/>
    <col min="13786" max="13786" width="5.5546875" style="737" customWidth="1"/>
    <col min="13787" max="13787" width="16.44140625" style="737" customWidth="1"/>
    <col min="13788" max="13788" width="10.6640625" style="737" customWidth="1"/>
    <col min="13789" max="13794" width="9.5546875" style="737" customWidth="1"/>
    <col min="13795" max="13795" width="5.5546875" style="737" customWidth="1"/>
    <col min="13796" max="13797" width="9.109375" style="737"/>
    <col min="13798" max="13798" width="5.44140625" style="737" customWidth="1"/>
    <col min="13799" max="13799" width="8.109375" style="737" customWidth="1"/>
    <col min="13800" max="13800" width="9.33203125" style="737" customWidth="1"/>
    <col min="13801" max="13801" width="10.6640625" style="737" customWidth="1"/>
    <col min="13802" max="13802" width="9.33203125" style="737" customWidth="1"/>
    <col min="13803" max="13803" width="5.44140625" style="737" customWidth="1"/>
    <col min="13804" max="13804" width="9.109375" style="737"/>
    <col min="13805" max="13805" width="5.44140625" style="737" customWidth="1"/>
    <col min="13806" max="13808" width="9.44140625" style="737" customWidth="1"/>
    <col min="13809" max="13809" width="5.44140625" style="737" customWidth="1"/>
    <col min="13810" max="13811" width="9.109375" style="737"/>
    <col min="13812" max="13812" width="5.44140625" style="737" customWidth="1"/>
    <col min="13813" max="13813" width="13.5546875" style="737" customWidth="1"/>
    <col min="13814" max="13814" width="13.6640625" style="737" customWidth="1"/>
    <col min="13815" max="13815" width="13.5546875" style="737" customWidth="1"/>
    <col min="13816" max="13816" width="5.44140625" style="737" customWidth="1"/>
    <col min="13817" max="13818" width="9.109375" style="737"/>
    <col min="13819" max="13819" width="5.44140625" style="737" customWidth="1"/>
    <col min="13820" max="13820" width="11.109375" style="737" bestFit="1" customWidth="1"/>
    <col min="13821" max="13828" width="9.44140625" style="737" customWidth="1"/>
    <col min="13829" max="13829" width="5.44140625" style="737" customWidth="1"/>
    <col min="13830" max="13962" width="9.109375" style="737"/>
    <col min="13963" max="13963" width="5.88671875" style="737" customWidth="1"/>
    <col min="13964" max="13964" width="5.6640625" style="737" customWidth="1"/>
    <col min="13965" max="13965" width="35.5546875" style="737" customWidth="1"/>
    <col min="13966" max="13966" width="14.5546875" style="737" customWidth="1"/>
    <col min="13967" max="13967" width="14.44140625" style="737" customWidth="1"/>
    <col min="13968" max="13968" width="5.6640625" style="737" customWidth="1"/>
    <col min="13969" max="13969" width="14.5546875" style="737" customWidth="1"/>
    <col min="13970" max="13971" width="5.88671875" style="737" customWidth="1"/>
    <col min="13972" max="13972" width="26.6640625" style="737" customWidth="1"/>
    <col min="13973" max="13976" width="11.33203125" style="737" customWidth="1"/>
    <col min="13977" max="13977" width="5.5546875" style="737" customWidth="1"/>
    <col min="13978" max="13978" width="14.5546875" style="737" customWidth="1"/>
    <col min="13979" max="13979" width="5.6640625" style="737" customWidth="1"/>
    <col min="13980" max="13980" width="30.88671875" style="737" bestFit="1" customWidth="1"/>
    <col min="13981" max="13981" width="9.109375" style="737"/>
    <col min="13982" max="13982" width="10.88671875" style="737" bestFit="1" customWidth="1"/>
    <col min="13983" max="13983" width="42.44140625" style="737" customWidth="1"/>
    <col min="13984" max="13984" width="5.88671875" style="737" customWidth="1"/>
    <col min="13985" max="13985" width="14.44140625" style="737" customWidth="1"/>
    <col min="13986" max="13986" width="5.5546875" style="737" customWidth="1"/>
    <col min="13987" max="13987" width="16" style="737" bestFit="1" customWidth="1"/>
    <col min="13988" max="13993" width="10.33203125" style="737" customWidth="1"/>
    <col min="13994" max="13994" width="5.5546875" style="737" customWidth="1"/>
    <col min="13995" max="13995" width="9.5546875" style="737" customWidth="1"/>
    <col min="13996" max="13996" width="9.109375" style="737"/>
    <col min="13997" max="13997" width="5.44140625" style="737" customWidth="1"/>
    <col min="13998" max="14000" width="9.109375" style="737"/>
    <col min="14001" max="14001" width="5.44140625" style="737" customWidth="1"/>
    <col min="14002" max="14003" width="9.33203125" style="737" customWidth="1"/>
    <col min="14004" max="14004" width="5.44140625" style="737" customWidth="1"/>
    <col min="14005" max="14005" width="21.6640625" style="737" bestFit="1" customWidth="1"/>
    <col min="14006" max="14009" width="11.44140625" style="737" customWidth="1"/>
    <col min="14010" max="14010" width="5.44140625" style="737" customWidth="1"/>
    <col min="14011" max="14011" width="9.109375" style="737"/>
    <col min="14012" max="14012" width="5.5546875" style="737" customWidth="1"/>
    <col min="14013" max="14013" width="16.88671875" style="737" customWidth="1"/>
    <col min="14014" max="14016" width="14.5546875" style="737" customWidth="1"/>
    <col min="14017" max="14017" width="5.5546875" style="737" customWidth="1"/>
    <col min="14018" max="14019" width="9.109375" style="737"/>
    <col min="14020" max="14020" width="5.6640625" style="737" customWidth="1"/>
    <col min="14021" max="14021" width="9.109375" style="737"/>
    <col min="14022" max="14022" width="9" style="737" customWidth="1"/>
    <col min="14023" max="14023" width="9.44140625" style="737" bestFit="1" customWidth="1"/>
    <col min="14024" max="14024" width="10.44140625" style="737" bestFit="1" customWidth="1"/>
    <col min="14025" max="14028" width="9.44140625" style="737" bestFit="1" customWidth="1"/>
    <col min="14029" max="14029" width="5.6640625" style="737" customWidth="1"/>
    <col min="14030" max="14030" width="9.109375" style="737"/>
    <col min="14031" max="14031" width="5.6640625" style="737" customWidth="1"/>
    <col min="14032" max="14032" width="9.109375" style="737"/>
    <col min="14033" max="14033" width="9" style="737" customWidth="1"/>
    <col min="14034" max="14034" width="9.44140625" style="737" bestFit="1" customWidth="1"/>
    <col min="14035" max="14035" width="9.88671875" style="737" bestFit="1" customWidth="1"/>
    <col min="14036" max="14039" width="9.44140625" style="737" bestFit="1" customWidth="1"/>
    <col min="14040" max="14040" width="5.6640625" style="737" customWidth="1"/>
    <col min="14041" max="14041" width="9.109375" style="737"/>
    <col min="14042" max="14042" width="5.5546875" style="737" customWidth="1"/>
    <col min="14043" max="14043" width="16.44140625" style="737" customWidth="1"/>
    <col min="14044" max="14044" width="10.6640625" style="737" customWidth="1"/>
    <col min="14045" max="14050" width="9.5546875" style="737" customWidth="1"/>
    <col min="14051" max="14051" width="5.5546875" style="737" customWidth="1"/>
    <col min="14052" max="14053" width="9.109375" style="737"/>
    <col min="14054" max="14054" width="5.44140625" style="737" customWidth="1"/>
    <col min="14055" max="14055" width="8.109375" style="737" customWidth="1"/>
    <col min="14056" max="14056" width="9.33203125" style="737" customWidth="1"/>
    <col min="14057" max="14057" width="10.6640625" style="737" customWidth="1"/>
    <col min="14058" max="14058" width="9.33203125" style="737" customWidth="1"/>
    <col min="14059" max="14059" width="5.44140625" style="737" customWidth="1"/>
    <col min="14060" max="14060" width="9.109375" style="737"/>
    <col min="14061" max="14061" width="5.44140625" style="737" customWidth="1"/>
    <col min="14062" max="14064" width="9.44140625" style="737" customWidth="1"/>
    <col min="14065" max="14065" width="5.44140625" style="737" customWidth="1"/>
    <col min="14066" max="14067" width="9.109375" style="737"/>
    <col min="14068" max="14068" width="5.44140625" style="737" customWidth="1"/>
    <col min="14069" max="14069" width="13.5546875" style="737" customWidth="1"/>
    <col min="14070" max="14070" width="13.6640625" style="737" customWidth="1"/>
    <col min="14071" max="14071" width="13.5546875" style="737" customWidth="1"/>
    <col min="14072" max="14072" width="5.44140625" style="737" customWidth="1"/>
    <col min="14073" max="14074" width="9.109375" style="737"/>
    <col min="14075" max="14075" width="5.44140625" style="737" customWidth="1"/>
    <col min="14076" max="14076" width="11.109375" style="737" bestFit="1" customWidth="1"/>
    <col min="14077" max="14084" width="9.44140625" style="737" customWidth="1"/>
    <col min="14085" max="14085" width="5.44140625" style="737" customWidth="1"/>
    <col min="14086" max="14218" width="9.109375" style="737"/>
    <col min="14219" max="14219" width="5.88671875" style="737" customWidth="1"/>
    <col min="14220" max="14220" width="5.6640625" style="737" customWidth="1"/>
    <col min="14221" max="14221" width="35.5546875" style="737" customWidth="1"/>
    <col min="14222" max="14222" width="14.5546875" style="737" customWidth="1"/>
    <col min="14223" max="14223" width="14.44140625" style="737" customWidth="1"/>
    <col min="14224" max="14224" width="5.6640625" style="737" customWidth="1"/>
    <col min="14225" max="14225" width="14.5546875" style="737" customWidth="1"/>
    <col min="14226" max="14227" width="5.88671875" style="737" customWidth="1"/>
    <col min="14228" max="14228" width="26.6640625" style="737" customWidth="1"/>
    <col min="14229" max="14232" width="11.33203125" style="737" customWidth="1"/>
    <col min="14233" max="14233" width="5.5546875" style="737" customWidth="1"/>
    <col min="14234" max="14234" width="14.5546875" style="737" customWidth="1"/>
    <col min="14235" max="14235" width="5.6640625" style="737" customWidth="1"/>
    <col min="14236" max="14236" width="30.88671875" style="737" bestFit="1" customWidth="1"/>
    <col min="14237" max="14237" width="9.109375" style="737"/>
    <col min="14238" max="14238" width="10.88671875" style="737" bestFit="1" customWidth="1"/>
    <col min="14239" max="14239" width="42.44140625" style="737" customWidth="1"/>
    <col min="14240" max="14240" width="5.88671875" style="737" customWidth="1"/>
    <col min="14241" max="14241" width="14.44140625" style="737" customWidth="1"/>
    <col min="14242" max="14242" width="5.5546875" style="737" customWidth="1"/>
    <col min="14243" max="14243" width="16" style="737" bestFit="1" customWidth="1"/>
    <col min="14244" max="14249" width="10.33203125" style="737" customWidth="1"/>
    <col min="14250" max="14250" width="5.5546875" style="737" customWidth="1"/>
    <col min="14251" max="14251" width="9.5546875" style="737" customWidth="1"/>
    <col min="14252" max="14252" width="9.109375" style="737"/>
    <col min="14253" max="14253" width="5.44140625" style="737" customWidth="1"/>
    <col min="14254" max="14256" width="9.109375" style="737"/>
    <col min="14257" max="14257" width="5.44140625" style="737" customWidth="1"/>
    <col min="14258" max="14259" width="9.33203125" style="737" customWidth="1"/>
    <col min="14260" max="14260" width="5.44140625" style="737" customWidth="1"/>
    <col min="14261" max="14261" width="21.6640625" style="737" bestFit="1" customWidth="1"/>
    <col min="14262" max="14265" width="11.44140625" style="737" customWidth="1"/>
    <col min="14266" max="14266" width="5.44140625" style="737" customWidth="1"/>
    <col min="14267" max="14267" width="9.109375" style="737"/>
    <col min="14268" max="14268" width="5.5546875" style="737" customWidth="1"/>
    <col min="14269" max="14269" width="16.88671875" style="737" customWidth="1"/>
    <col min="14270" max="14272" width="14.5546875" style="737" customWidth="1"/>
    <col min="14273" max="14273" width="5.5546875" style="737" customWidth="1"/>
    <col min="14274" max="14275" width="9.109375" style="737"/>
    <col min="14276" max="14276" width="5.6640625" style="737" customWidth="1"/>
    <col min="14277" max="14277" width="9.109375" style="737"/>
    <col min="14278" max="14278" width="9" style="737" customWidth="1"/>
    <col min="14279" max="14279" width="9.44140625" style="737" bestFit="1" customWidth="1"/>
    <col min="14280" max="14280" width="10.44140625" style="737" bestFit="1" customWidth="1"/>
    <col min="14281" max="14284" width="9.44140625" style="737" bestFit="1" customWidth="1"/>
    <col min="14285" max="14285" width="5.6640625" style="737" customWidth="1"/>
    <col min="14286" max="14286" width="9.109375" style="737"/>
    <col min="14287" max="14287" width="5.6640625" style="737" customWidth="1"/>
    <col min="14288" max="14288" width="9.109375" style="737"/>
    <col min="14289" max="14289" width="9" style="737" customWidth="1"/>
    <col min="14290" max="14290" width="9.44140625" style="737" bestFit="1" customWidth="1"/>
    <col min="14291" max="14291" width="9.88671875" style="737" bestFit="1" customWidth="1"/>
    <col min="14292" max="14295" width="9.44140625" style="737" bestFit="1" customWidth="1"/>
    <col min="14296" max="14296" width="5.6640625" style="737" customWidth="1"/>
    <col min="14297" max="14297" width="9.109375" style="737"/>
    <col min="14298" max="14298" width="5.5546875" style="737" customWidth="1"/>
    <col min="14299" max="14299" width="16.44140625" style="737" customWidth="1"/>
    <col min="14300" max="14300" width="10.6640625" style="737" customWidth="1"/>
    <col min="14301" max="14306" width="9.5546875" style="737" customWidth="1"/>
    <col min="14307" max="14307" width="5.5546875" style="737" customWidth="1"/>
    <col min="14308" max="14309" width="9.109375" style="737"/>
    <col min="14310" max="14310" width="5.44140625" style="737" customWidth="1"/>
    <col min="14311" max="14311" width="8.109375" style="737" customWidth="1"/>
    <col min="14312" max="14312" width="9.33203125" style="737" customWidth="1"/>
    <col min="14313" max="14313" width="10.6640625" style="737" customWidth="1"/>
    <col min="14314" max="14314" width="9.33203125" style="737" customWidth="1"/>
    <col min="14315" max="14315" width="5.44140625" style="737" customWidth="1"/>
    <col min="14316" max="14316" width="9.109375" style="737"/>
    <col min="14317" max="14317" width="5.44140625" style="737" customWidth="1"/>
    <col min="14318" max="14320" width="9.44140625" style="737" customWidth="1"/>
    <col min="14321" max="14321" width="5.44140625" style="737" customWidth="1"/>
    <col min="14322" max="14323" width="9.109375" style="737"/>
    <col min="14324" max="14324" width="5.44140625" style="737" customWidth="1"/>
    <col min="14325" max="14325" width="13.5546875" style="737" customWidth="1"/>
    <col min="14326" max="14326" width="13.6640625" style="737" customWidth="1"/>
    <col min="14327" max="14327" width="13.5546875" style="737" customWidth="1"/>
    <col min="14328" max="14328" width="5.44140625" style="737" customWidth="1"/>
    <col min="14329" max="14330" width="9.109375" style="737"/>
    <col min="14331" max="14331" width="5.44140625" style="737" customWidth="1"/>
    <col min="14332" max="14332" width="11.109375" style="737" bestFit="1" customWidth="1"/>
    <col min="14333" max="14340" width="9.44140625" style="737" customWidth="1"/>
    <col min="14341" max="14341" width="5.44140625" style="737" customWidth="1"/>
    <col min="14342" max="14474" width="9.109375" style="737"/>
    <col min="14475" max="14475" width="5.88671875" style="737" customWidth="1"/>
    <col min="14476" max="14476" width="5.6640625" style="737" customWidth="1"/>
    <col min="14477" max="14477" width="35.5546875" style="737" customWidth="1"/>
    <col min="14478" max="14478" width="14.5546875" style="737" customWidth="1"/>
    <col min="14479" max="14479" width="14.44140625" style="737" customWidth="1"/>
    <col min="14480" max="14480" width="5.6640625" style="737" customWidth="1"/>
    <col min="14481" max="14481" width="14.5546875" style="737" customWidth="1"/>
    <col min="14482" max="14483" width="5.88671875" style="737" customWidth="1"/>
    <col min="14484" max="14484" width="26.6640625" style="737" customWidth="1"/>
    <col min="14485" max="14488" width="11.33203125" style="737" customWidth="1"/>
    <col min="14489" max="14489" width="5.5546875" style="737" customWidth="1"/>
    <col min="14490" max="14490" width="14.5546875" style="737" customWidth="1"/>
    <col min="14491" max="14491" width="5.6640625" style="737" customWidth="1"/>
    <col min="14492" max="14492" width="30.88671875" style="737" bestFit="1" customWidth="1"/>
    <col min="14493" max="14493" width="9.109375" style="737"/>
    <col min="14494" max="14494" width="10.88671875" style="737" bestFit="1" customWidth="1"/>
    <col min="14495" max="14495" width="42.44140625" style="737" customWidth="1"/>
    <col min="14496" max="14496" width="5.88671875" style="737" customWidth="1"/>
    <col min="14497" max="14497" width="14.44140625" style="737" customWidth="1"/>
    <col min="14498" max="14498" width="5.5546875" style="737" customWidth="1"/>
    <col min="14499" max="14499" width="16" style="737" bestFit="1" customWidth="1"/>
    <col min="14500" max="14505" width="10.33203125" style="737" customWidth="1"/>
    <col min="14506" max="14506" width="5.5546875" style="737" customWidth="1"/>
    <col min="14507" max="14507" width="9.5546875" style="737" customWidth="1"/>
    <col min="14508" max="14508" width="9.109375" style="737"/>
    <col min="14509" max="14509" width="5.44140625" style="737" customWidth="1"/>
    <col min="14510" max="14512" width="9.109375" style="737"/>
    <col min="14513" max="14513" width="5.44140625" style="737" customWidth="1"/>
    <col min="14514" max="14515" width="9.33203125" style="737" customWidth="1"/>
    <col min="14516" max="14516" width="5.44140625" style="737" customWidth="1"/>
    <col min="14517" max="14517" width="21.6640625" style="737" bestFit="1" customWidth="1"/>
    <col min="14518" max="14521" width="11.44140625" style="737" customWidth="1"/>
    <col min="14522" max="14522" width="5.44140625" style="737" customWidth="1"/>
    <col min="14523" max="14523" width="9.109375" style="737"/>
    <col min="14524" max="14524" width="5.5546875" style="737" customWidth="1"/>
    <col min="14525" max="14525" width="16.88671875" style="737" customWidth="1"/>
    <col min="14526" max="14528" width="14.5546875" style="737" customWidth="1"/>
    <col min="14529" max="14529" width="5.5546875" style="737" customWidth="1"/>
    <col min="14530" max="14531" width="9.109375" style="737"/>
    <col min="14532" max="14532" width="5.6640625" style="737" customWidth="1"/>
    <col min="14533" max="14533" width="9.109375" style="737"/>
    <col min="14534" max="14534" width="9" style="737" customWidth="1"/>
    <col min="14535" max="14535" width="9.44140625" style="737" bestFit="1" customWidth="1"/>
    <col min="14536" max="14536" width="10.44140625" style="737" bestFit="1" customWidth="1"/>
    <col min="14537" max="14540" width="9.44140625" style="737" bestFit="1" customWidth="1"/>
    <col min="14541" max="14541" width="5.6640625" style="737" customWidth="1"/>
    <col min="14542" max="14542" width="9.109375" style="737"/>
    <col min="14543" max="14543" width="5.6640625" style="737" customWidth="1"/>
    <col min="14544" max="14544" width="9.109375" style="737"/>
    <col min="14545" max="14545" width="9" style="737" customWidth="1"/>
    <col min="14546" max="14546" width="9.44140625" style="737" bestFit="1" customWidth="1"/>
    <col min="14547" max="14547" width="9.88671875" style="737" bestFit="1" customWidth="1"/>
    <col min="14548" max="14551" width="9.44140625" style="737" bestFit="1" customWidth="1"/>
    <col min="14552" max="14552" width="5.6640625" style="737" customWidth="1"/>
    <col min="14553" max="14553" width="9.109375" style="737"/>
    <col min="14554" max="14554" width="5.5546875" style="737" customWidth="1"/>
    <col min="14555" max="14555" width="16.44140625" style="737" customWidth="1"/>
    <col min="14556" max="14556" width="10.6640625" style="737" customWidth="1"/>
    <col min="14557" max="14562" width="9.5546875" style="737" customWidth="1"/>
    <col min="14563" max="14563" width="5.5546875" style="737" customWidth="1"/>
    <col min="14564" max="14565" width="9.109375" style="737"/>
    <col min="14566" max="14566" width="5.44140625" style="737" customWidth="1"/>
    <col min="14567" max="14567" width="8.109375" style="737" customWidth="1"/>
    <col min="14568" max="14568" width="9.33203125" style="737" customWidth="1"/>
    <col min="14569" max="14569" width="10.6640625" style="737" customWidth="1"/>
    <col min="14570" max="14570" width="9.33203125" style="737" customWidth="1"/>
    <col min="14571" max="14571" width="5.44140625" style="737" customWidth="1"/>
    <col min="14572" max="14572" width="9.109375" style="737"/>
    <col min="14573" max="14573" width="5.44140625" style="737" customWidth="1"/>
    <col min="14574" max="14576" width="9.44140625" style="737" customWidth="1"/>
    <col min="14577" max="14577" width="5.44140625" style="737" customWidth="1"/>
    <col min="14578" max="14579" width="9.109375" style="737"/>
    <col min="14580" max="14580" width="5.44140625" style="737" customWidth="1"/>
    <col min="14581" max="14581" width="13.5546875" style="737" customWidth="1"/>
    <col min="14582" max="14582" width="13.6640625" style="737" customWidth="1"/>
    <col min="14583" max="14583" width="13.5546875" style="737" customWidth="1"/>
    <col min="14584" max="14584" width="5.44140625" style="737" customWidth="1"/>
    <col min="14585" max="14586" width="9.109375" style="737"/>
    <col min="14587" max="14587" width="5.44140625" style="737" customWidth="1"/>
    <col min="14588" max="14588" width="11.109375" style="737" bestFit="1" customWidth="1"/>
    <col min="14589" max="14596" width="9.44140625" style="737" customWidth="1"/>
    <col min="14597" max="14597" width="5.44140625" style="737" customWidth="1"/>
    <col min="14598" max="14730" width="9.109375" style="737"/>
    <col min="14731" max="14731" width="5.88671875" style="737" customWidth="1"/>
    <col min="14732" max="14732" width="5.6640625" style="737" customWidth="1"/>
    <col min="14733" max="14733" width="35.5546875" style="737" customWidth="1"/>
    <col min="14734" max="14734" width="14.5546875" style="737" customWidth="1"/>
    <col min="14735" max="14735" width="14.44140625" style="737" customWidth="1"/>
    <col min="14736" max="14736" width="5.6640625" style="737" customWidth="1"/>
    <col min="14737" max="14737" width="14.5546875" style="737" customWidth="1"/>
    <col min="14738" max="14739" width="5.88671875" style="737" customWidth="1"/>
    <col min="14740" max="14740" width="26.6640625" style="737" customWidth="1"/>
    <col min="14741" max="14744" width="11.33203125" style="737" customWidth="1"/>
    <col min="14745" max="14745" width="5.5546875" style="737" customWidth="1"/>
    <col min="14746" max="14746" width="14.5546875" style="737" customWidth="1"/>
    <col min="14747" max="14747" width="5.6640625" style="737" customWidth="1"/>
    <col min="14748" max="14748" width="30.88671875" style="737" bestFit="1" customWidth="1"/>
    <col min="14749" max="14749" width="9.109375" style="737"/>
    <col min="14750" max="14750" width="10.88671875" style="737" bestFit="1" customWidth="1"/>
    <col min="14751" max="14751" width="42.44140625" style="737" customWidth="1"/>
    <col min="14752" max="14752" width="5.88671875" style="737" customWidth="1"/>
    <col min="14753" max="14753" width="14.44140625" style="737" customWidth="1"/>
    <col min="14754" max="14754" width="5.5546875" style="737" customWidth="1"/>
    <col min="14755" max="14755" width="16" style="737" bestFit="1" customWidth="1"/>
    <col min="14756" max="14761" width="10.33203125" style="737" customWidth="1"/>
    <col min="14762" max="14762" width="5.5546875" style="737" customWidth="1"/>
    <col min="14763" max="14763" width="9.5546875" style="737" customWidth="1"/>
    <col min="14764" max="14764" width="9.109375" style="737"/>
    <col min="14765" max="14765" width="5.44140625" style="737" customWidth="1"/>
    <col min="14766" max="14768" width="9.109375" style="737"/>
    <col min="14769" max="14769" width="5.44140625" style="737" customWidth="1"/>
    <col min="14770" max="14771" width="9.33203125" style="737" customWidth="1"/>
    <col min="14772" max="14772" width="5.44140625" style="737" customWidth="1"/>
    <col min="14773" max="14773" width="21.6640625" style="737" bestFit="1" customWidth="1"/>
    <col min="14774" max="14777" width="11.44140625" style="737" customWidth="1"/>
    <col min="14778" max="14778" width="5.44140625" style="737" customWidth="1"/>
    <col min="14779" max="14779" width="9.109375" style="737"/>
    <col min="14780" max="14780" width="5.5546875" style="737" customWidth="1"/>
    <col min="14781" max="14781" width="16.88671875" style="737" customWidth="1"/>
    <col min="14782" max="14784" width="14.5546875" style="737" customWidth="1"/>
    <col min="14785" max="14785" width="5.5546875" style="737" customWidth="1"/>
    <col min="14786" max="14787" width="9.109375" style="737"/>
    <col min="14788" max="14788" width="5.6640625" style="737" customWidth="1"/>
    <col min="14789" max="14789" width="9.109375" style="737"/>
    <col min="14790" max="14790" width="9" style="737" customWidth="1"/>
    <col min="14791" max="14791" width="9.44140625" style="737" bestFit="1" customWidth="1"/>
    <col min="14792" max="14792" width="10.44140625" style="737" bestFit="1" customWidth="1"/>
    <col min="14793" max="14796" width="9.44140625" style="737" bestFit="1" customWidth="1"/>
    <col min="14797" max="14797" width="5.6640625" style="737" customWidth="1"/>
    <col min="14798" max="14798" width="9.109375" style="737"/>
    <col min="14799" max="14799" width="5.6640625" style="737" customWidth="1"/>
    <col min="14800" max="14800" width="9.109375" style="737"/>
    <col min="14801" max="14801" width="9" style="737" customWidth="1"/>
    <col min="14802" max="14802" width="9.44140625" style="737" bestFit="1" customWidth="1"/>
    <col min="14803" max="14803" width="9.88671875" style="737" bestFit="1" customWidth="1"/>
    <col min="14804" max="14807" width="9.44140625" style="737" bestFit="1" customWidth="1"/>
    <col min="14808" max="14808" width="5.6640625" style="737" customWidth="1"/>
    <col min="14809" max="14809" width="9.109375" style="737"/>
    <col min="14810" max="14810" width="5.5546875" style="737" customWidth="1"/>
    <col min="14811" max="14811" width="16.44140625" style="737" customWidth="1"/>
    <col min="14812" max="14812" width="10.6640625" style="737" customWidth="1"/>
    <col min="14813" max="14818" width="9.5546875" style="737" customWidth="1"/>
    <col min="14819" max="14819" width="5.5546875" style="737" customWidth="1"/>
    <col min="14820" max="14821" width="9.109375" style="737"/>
    <col min="14822" max="14822" width="5.44140625" style="737" customWidth="1"/>
    <col min="14823" max="14823" width="8.109375" style="737" customWidth="1"/>
    <col min="14824" max="14824" width="9.33203125" style="737" customWidth="1"/>
    <col min="14825" max="14825" width="10.6640625" style="737" customWidth="1"/>
    <col min="14826" max="14826" width="9.33203125" style="737" customWidth="1"/>
    <col min="14827" max="14827" width="5.44140625" style="737" customWidth="1"/>
    <col min="14828" max="14828" width="9.109375" style="737"/>
    <col min="14829" max="14829" width="5.44140625" style="737" customWidth="1"/>
    <col min="14830" max="14832" width="9.44140625" style="737" customWidth="1"/>
    <col min="14833" max="14833" width="5.44140625" style="737" customWidth="1"/>
    <col min="14834" max="14835" width="9.109375" style="737"/>
    <col min="14836" max="14836" width="5.44140625" style="737" customWidth="1"/>
    <col min="14837" max="14837" width="13.5546875" style="737" customWidth="1"/>
    <col min="14838" max="14838" width="13.6640625" style="737" customWidth="1"/>
    <col min="14839" max="14839" width="13.5546875" style="737" customWidth="1"/>
    <col min="14840" max="14840" width="5.44140625" style="737" customWidth="1"/>
    <col min="14841" max="14842" width="9.109375" style="737"/>
    <col min="14843" max="14843" width="5.44140625" style="737" customWidth="1"/>
    <col min="14844" max="14844" width="11.109375" style="737" bestFit="1" customWidth="1"/>
    <col min="14845" max="14852" width="9.44140625" style="737" customWidth="1"/>
    <col min="14853" max="14853" width="5.44140625" style="737" customWidth="1"/>
    <col min="14854" max="14986" width="9.109375" style="737"/>
    <col min="14987" max="14987" width="5.88671875" style="737" customWidth="1"/>
    <col min="14988" max="14988" width="5.6640625" style="737" customWidth="1"/>
    <col min="14989" max="14989" width="35.5546875" style="737" customWidth="1"/>
    <col min="14990" max="14990" width="14.5546875" style="737" customWidth="1"/>
    <col min="14991" max="14991" width="14.44140625" style="737" customWidth="1"/>
    <col min="14992" max="14992" width="5.6640625" style="737" customWidth="1"/>
    <col min="14993" max="14993" width="14.5546875" style="737" customWidth="1"/>
    <col min="14994" max="14995" width="5.88671875" style="737" customWidth="1"/>
    <col min="14996" max="14996" width="26.6640625" style="737" customWidth="1"/>
    <col min="14997" max="15000" width="11.33203125" style="737" customWidth="1"/>
    <col min="15001" max="15001" width="5.5546875" style="737" customWidth="1"/>
    <col min="15002" max="15002" width="14.5546875" style="737" customWidth="1"/>
    <col min="15003" max="15003" width="5.6640625" style="737" customWidth="1"/>
    <col min="15004" max="15004" width="30.88671875" style="737" bestFit="1" customWidth="1"/>
    <col min="15005" max="15005" width="9.109375" style="737"/>
    <col min="15006" max="15006" width="10.88671875" style="737" bestFit="1" customWidth="1"/>
    <col min="15007" max="15007" width="42.44140625" style="737" customWidth="1"/>
    <col min="15008" max="15008" width="5.88671875" style="737" customWidth="1"/>
    <col min="15009" max="15009" width="14.44140625" style="737" customWidth="1"/>
    <col min="15010" max="15010" width="5.5546875" style="737" customWidth="1"/>
    <col min="15011" max="15011" width="16" style="737" bestFit="1" customWidth="1"/>
    <col min="15012" max="15017" width="10.33203125" style="737" customWidth="1"/>
    <col min="15018" max="15018" width="5.5546875" style="737" customWidth="1"/>
    <col min="15019" max="15019" width="9.5546875" style="737" customWidth="1"/>
    <col min="15020" max="15020" width="9.109375" style="737"/>
    <col min="15021" max="15021" width="5.44140625" style="737" customWidth="1"/>
    <col min="15022" max="15024" width="9.109375" style="737"/>
    <col min="15025" max="15025" width="5.44140625" style="737" customWidth="1"/>
    <col min="15026" max="15027" width="9.33203125" style="737" customWidth="1"/>
    <col min="15028" max="15028" width="5.44140625" style="737" customWidth="1"/>
    <col min="15029" max="15029" width="21.6640625" style="737" bestFit="1" customWidth="1"/>
    <col min="15030" max="15033" width="11.44140625" style="737" customWidth="1"/>
    <col min="15034" max="15034" width="5.44140625" style="737" customWidth="1"/>
    <col min="15035" max="15035" width="9.109375" style="737"/>
    <col min="15036" max="15036" width="5.5546875" style="737" customWidth="1"/>
    <col min="15037" max="15037" width="16.88671875" style="737" customWidth="1"/>
    <col min="15038" max="15040" width="14.5546875" style="737" customWidth="1"/>
    <col min="15041" max="15041" width="5.5546875" style="737" customWidth="1"/>
    <col min="15042" max="15043" width="9.109375" style="737"/>
    <col min="15044" max="15044" width="5.6640625" style="737" customWidth="1"/>
    <col min="15045" max="15045" width="9.109375" style="737"/>
    <col min="15046" max="15046" width="9" style="737" customWidth="1"/>
    <col min="15047" max="15047" width="9.44140625" style="737" bestFit="1" customWidth="1"/>
    <col min="15048" max="15048" width="10.44140625" style="737" bestFit="1" customWidth="1"/>
    <col min="15049" max="15052" width="9.44140625" style="737" bestFit="1" customWidth="1"/>
    <col min="15053" max="15053" width="5.6640625" style="737" customWidth="1"/>
    <col min="15054" max="15054" width="9.109375" style="737"/>
    <col min="15055" max="15055" width="5.6640625" style="737" customWidth="1"/>
    <col min="15056" max="15056" width="9.109375" style="737"/>
    <col min="15057" max="15057" width="9" style="737" customWidth="1"/>
    <col min="15058" max="15058" width="9.44140625" style="737" bestFit="1" customWidth="1"/>
    <col min="15059" max="15059" width="9.88671875" style="737" bestFit="1" customWidth="1"/>
    <col min="15060" max="15063" width="9.44140625" style="737" bestFit="1" customWidth="1"/>
    <col min="15064" max="15064" width="5.6640625" style="737" customWidth="1"/>
    <col min="15065" max="15065" width="9.109375" style="737"/>
    <col min="15066" max="15066" width="5.5546875" style="737" customWidth="1"/>
    <col min="15067" max="15067" width="16.44140625" style="737" customWidth="1"/>
    <col min="15068" max="15068" width="10.6640625" style="737" customWidth="1"/>
    <col min="15069" max="15074" width="9.5546875" style="737" customWidth="1"/>
    <col min="15075" max="15075" width="5.5546875" style="737" customWidth="1"/>
    <col min="15076" max="15077" width="9.109375" style="737"/>
    <col min="15078" max="15078" width="5.44140625" style="737" customWidth="1"/>
    <col min="15079" max="15079" width="8.109375" style="737" customWidth="1"/>
    <col min="15080" max="15080" width="9.33203125" style="737" customWidth="1"/>
    <col min="15081" max="15081" width="10.6640625" style="737" customWidth="1"/>
    <col min="15082" max="15082" width="9.33203125" style="737" customWidth="1"/>
    <col min="15083" max="15083" width="5.44140625" style="737" customWidth="1"/>
    <col min="15084" max="15084" width="9.109375" style="737"/>
    <col min="15085" max="15085" width="5.44140625" style="737" customWidth="1"/>
    <col min="15086" max="15088" width="9.44140625" style="737" customWidth="1"/>
    <col min="15089" max="15089" width="5.44140625" style="737" customWidth="1"/>
    <col min="15090" max="15091" width="9.109375" style="737"/>
    <col min="15092" max="15092" width="5.44140625" style="737" customWidth="1"/>
    <col min="15093" max="15093" width="13.5546875" style="737" customWidth="1"/>
    <col min="15094" max="15094" width="13.6640625" style="737" customWidth="1"/>
    <col min="15095" max="15095" width="13.5546875" style="737" customWidth="1"/>
    <col min="15096" max="15096" width="5.44140625" style="737" customWidth="1"/>
    <col min="15097" max="15098" width="9.109375" style="737"/>
    <col min="15099" max="15099" width="5.44140625" style="737" customWidth="1"/>
    <col min="15100" max="15100" width="11.109375" style="737" bestFit="1" customWidth="1"/>
    <col min="15101" max="15108" width="9.44140625" style="737" customWidth="1"/>
    <col min="15109" max="15109" width="5.44140625" style="737" customWidth="1"/>
    <col min="15110" max="15242" width="9.109375" style="737"/>
    <col min="15243" max="15243" width="5.88671875" style="737" customWidth="1"/>
    <col min="15244" max="15244" width="5.6640625" style="737" customWidth="1"/>
    <col min="15245" max="15245" width="35.5546875" style="737" customWidth="1"/>
    <col min="15246" max="15246" width="14.5546875" style="737" customWidth="1"/>
    <col min="15247" max="15247" width="14.44140625" style="737" customWidth="1"/>
    <col min="15248" max="15248" width="5.6640625" style="737" customWidth="1"/>
    <col min="15249" max="15249" width="14.5546875" style="737" customWidth="1"/>
    <col min="15250" max="15251" width="5.88671875" style="737" customWidth="1"/>
    <col min="15252" max="15252" width="26.6640625" style="737" customWidth="1"/>
    <col min="15253" max="15256" width="11.33203125" style="737" customWidth="1"/>
    <col min="15257" max="15257" width="5.5546875" style="737" customWidth="1"/>
    <col min="15258" max="15258" width="14.5546875" style="737" customWidth="1"/>
    <col min="15259" max="15259" width="5.6640625" style="737" customWidth="1"/>
    <col min="15260" max="15260" width="30.88671875" style="737" bestFit="1" customWidth="1"/>
    <col min="15261" max="15261" width="9.109375" style="737"/>
    <col min="15262" max="15262" width="10.88671875" style="737" bestFit="1" customWidth="1"/>
    <col min="15263" max="15263" width="42.44140625" style="737" customWidth="1"/>
    <col min="15264" max="15264" width="5.88671875" style="737" customWidth="1"/>
    <col min="15265" max="15265" width="14.44140625" style="737" customWidth="1"/>
    <col min="15266" max="15266" width="5.5546875" style="737" customWidth="1"/>
    <col min="15267" max="15267" width="16" style="737" bestFit="1" customWidth="1"/>
    <col min="15268" max="15273" width="10.33203125" style="737" customWidth="1"/>
    <col min="15274" max="15274" width="5.5546875" style="737" customWidth="1"/>
    <col min="15275" max="15275" width="9.5546875" style="737" customWidth="1"/>
    <col min="15276" max="15276" width="9.109375" style="737"/>
    <col min="15277" max="15277" width="5.44140625" style="737" customWidth="1"/>
    <col min="15278" max="15280" width="9.109375" style="737"/>
    <col min="15281" max="15281" width="5.44140625" style="737" customWidth="1"/>
    <col min="15282" max="15283" width="9.33203125" style="737" customWidth="1"/>
    <col min="15284" max="15284" width="5.44140625" style="737" customWidth="1"/>
    <col min="15285" max="15285" width="21.6640625" style="737" bestFit="1" customWidth="1"/>
    <col min="15286" max="15289" width="11.44140625" style="737" customWidth="1"/>
    <col min="15290" max="15290" width="5.44140625" style="737" customWidth="1"/>
    <col min="15291" max="15291" width="9.109375" style="737"/>
    <col min="15292" max="15292" width="5.5546875" style="737" customWidth="1"/>
    <col min="15293" max="15293" width="16.88671875" style="737" customWidth="1"/>
    <col min="15294" max="15296" width="14.5546875" style="737" customWidth="1"/>
    <col min="15297" max="15297" width="5.5546875" style="737" customWidth="1"/>
    <col min="15298" max="15299" width="9.109375" style="737"/>
    <col min="15300" max="15300" width="5.6640625" style="737" customWidth="1"/>
    <col min="15301" max="15301" width="9.109375" style="737"/>
    <col min="15302" max="15302" width="9" style="737" customWidth="1"/>
    <col min="15303" max="15303" width="9.44140625" style="737" bestFit="1" customWidth="1"/>
    <col min="15304" max="15304" width="10.44140625" style="737" bestFit="1" customWidth="1"/>
    <col min="15305" max="15308" width="9.44140625" style="737" bestFit="1" customWidth="1"/>
    <col min="15309" max="15309" width="5.6640625" style="737" customWidth="1"/>
    <col min="15310" max="15310" width="9.109375" style="737"/>
    <col min="15311" max="15311" width="5.6640625" style="737" customWidth="1"/>
    <col min="15312" max="15312" width="9.109375" style="737"/>
    <col min="15313" max="15313" width="9" style="737" customWidth="1"/>
    <col min="15314" max="15314" width="9.44140625" style="737" bestFit="1" customWidth="1"/>
    <col min="15315" max="15315" width="9.88671875" style="737" bestFit="1" customWidth="1"/>
    <col min="15316" max="15319" width="9.44140625" style="737" bestFit="1" customWidth="1"/>
    <col min="15320" max="15320" width="5.6640625" style="737" customWidth="1"/>
    <col min="15321" max="15321" width="9.109375" style="737"/>
    <col min="15322" max="15322" width="5.5546875" style="737" customWidth="1"/>
    <col min="15323" max="15323" width="16.44140625" style="737" customWidth="1"/>
    <col min="15324" max="15324" width="10.6640625" style="737" customWidth="1"/>
    <col min="15325" max="15330" width="9.5546875" style="737" customWidth="1"/>
    <col min="15331" max="15331" width="5.5546875" style="737" customWidth="1"/>
    <col min="15332" max="15333" width="9.109375" style="737"/>
    <col min="15334" max="15334" width="5.44140625" style="737" customWidth="1"/>
    <col min="15335" max="15335" width="8.109375" style="737" customWidth="1"/>
    <col min="15336" max="15336" width="9.33203125" style="737" customWidth="1"/>
    <col min="15337" max="15337" width="10.6640625" style="737" customWidth="1"/>
    <col min="15338" max="15338" width="9.33203125" style="737" customWidth="1"/>
    <col min="15339" max="15339" width="5.44140625" style="737" customWidth="1"/>
    <col min="15340" max="15340" width="9.109375" style="737"/>
    <col min="15341" max="15341" width="5.44140625" style="737" customWidth="1"/>
    <col min="15342" max="15344" width="9.44140625" style="737" customWidth="1"/>
    <col min="15345" max="15345" width="5.44140625" style="737" customWidth="1"/>
    <col min="15346" max="15347" width="9.109375" style="737"/>
    <col min="15348" max="15348" width="5.44140625" style="737" customWidth="1"/>
    <col min="15349" max="15349" width="13.5546875" style="737" customWidth="1"/>
    <col min="15350" max="15350" width="13.6640625" style="737" customWidth="1"/>
    <col min="15351" max="15351" width="13.5546875" style="737" customWidth="1"/>
    <col min="15352" max="15352" width="5.44140625" style="737" customWidth="1"/>
    <col min="15353" max="15354" width="9.109375" style="737"/>
    <col min="15355" max="15355" width="5.44140625" style="737" customWidth="1"/>
    <col min="15356" max="15356" width="11.109375" style="737" bestFit="1" customWidth="1"/>
    <col min="15357" max="15364" width="9.44140625" style="737" customWidth="1"/>
    <col min="15365" max="15365" width="5.44140625" style="737" customWidth="1"/>
    <col min="15366" max="15498" width="9.109375" style="737"/>
    <col min="15499" max="15499" width="5.88671875" style="737" customWidth="1"/>
    <col min="15500" max="15500" width="5.6640625" style="737" customWidth="1"/>
    <col min="15501" max="15501" width="35.5546875" style="737" customWidth="1"/>
    <col min="15502" max="15502" width="14.5546875" style="737" customWidth="1"/>
    <col min="15503" max="15503" width="14.44140625" style="737" customWidth="1"/>
    <col min="15504" max="15504" width="5.6640625" style="737" customWidth="1"/>
    <col min="15505" max="15505" width="14.5546875" style="737" customWidth="1"/>
    <col min="15506" max="15507" width="5.88671875" style="737" customWidth="1"/>
    <col min="15508" max="15508" width="26.6640625" style="737" customWidth="1"/>
    <col min="15509" max="15512" width="11.33203125" style="737" customWidth="1"/>
    <col min="15513" max="15513" width="5.5546875" style="737" customWidth="1"/>
    <col min="15514" max="15514" width="14.5546875" style="737" customWidth="1"/>
    <col min="15515" max="15515" width="5.6640625" style="737" customWidth="1"/>
    <col min="15516" max="15516" width="30.88671875" style="737" bestFit="1" customWidth="1"/>
    <col min="15517" max="15517" width="9.109375" style="737"/>
    <col min="15518" max="15518" width="10.88671875" style="737" bestFit="1" customWidth="1"/>
    <col min="15519" max="15519" width="42.44140625" style="737" customWidth="1"/>
    <col min="15520" max="15520" width="5.88671875" style="737" customWidth="1"/>
    <col min="15521" max="15521" width="14.44140625" style="737" customWidth="1"/>
    <col min="15522" max="15522" width="5.5546875" style="737" customWidth="1"/>
    <col min="15523" max="15523" width="16" style="737" bestFit="1" customWidth="1"/>
    <col min="15524" max="15529" width="10.33203125" style="737" customWidth="1"/>
    <col min="15530" max="15530" width="5.5546875" style="737" customWidth="1"/>
    <col min="15531" max="15531" width="9.5546875" style="737" customWidth="1"/>
    <col min="15532" max="15532" width="9.109375" style="737"/>
    <col min="15533" max="15533" width="5.44140625" style="737" customWidth="1"/>
    <col min="15534" max="15536" width="9.109375" style="737"/>
    <col min="15537" max="15537" width="5.44140625" style="737" customWidth="1"/>
    <col min="15538" max="15539" width="9.33203125" style="737" customWidth="1"/>
    <col min="15540" max="15540" width="5.44140625" style="737" customWidth="1"/>
    <col min="15541" max="15541" width="21.6640625" style="737" bestFit="1" customWidth="1"/>
    <col min="15542" max="15545" width="11.44140625" style="737" customWidth="1"/>
    <col min="15546" max="15546" width="5.44140625" style="737" customWidth="1"/>
    <col min="15547" max="15547" width="9.109375" style="737"/>
    <col min="15548" max="15548" width="5.5546875" style="737" customWidth="1"/>
    <col min="15549" max="15549" width="16.88671875" style="737" customWidth="1"/>
    <col min="15550" max="15552" width="14.5546875" style="737" customWidth="1"/>
    <col min="15553" max="15553" width="5.5546875" style="737" customWidth="1"/>
    <col min="15554" max="15555" width="9.109375" style="737"/>
    <col min="15556" max="15556" width="5.6640625" style="737" customWidth="1"/>
    <col min="15557" max="15557" width="9.109375" style="737"/>
    <col min="15558" max="15558" width="9" style="737" customWidth="1"/>
    <col min="15559" max="15559" width="9.44140625" style="737" bestFit="1" customWidth="1"/>
    <col min="15560" max="15560" width="10.44140625" style="737" bestFit="1" customWidth="1"/>
    <col min="15561" max="15564" width="9.44140625" style="737" bestFit="1" customWidth="1"/>
    <col min="15565" max="15565" width="5.6640625" style="737" customWidth="1"/>
    <col min="15566" max="15566" width="9.109375" style="737"/>
    <col min="15567" max="15567" width="5.6640625" style="737" customWidth="1"/>
    <col min="15568" max="15568" width="9.109375" style="737"/>
    <col min="15569" max="15569" width="9" style="737" customWidth="1"/>
    <col min="15570" max="15570" width="9.44140625" style="737" bestFit="1" customWidth="1"/>
    <col min="15571" max="15571" width="9.88671875" style="737" bestFit="1" customWidth="1"/>
    <col min="15572" max="15575" width="9.44140625" style="737" bestFit="1" customWidth="1"/>
    <col min="15576" max="15576" width="5.6640625" style="737" customWidth="1"/>
    <col min="15577" max="15577" width="9.109375" style="737"/>
    <col min="15578" max="15578" width="5.5546875" style="737" customWidth="1"/>
    <col min="15579" max="15579" width="16.44140625" style="737" customWidth="1"/>
    <col min="15580" max="15580" width="10.6640625" style="737" customWidth="1"/>
    <col min="15581" max="15586" width="9.5546875" style="737" customWidth="1"/>
    <col min="15587" max="15587" width="5.5546875" style="737" customWidth="1"/>
    <col min="15588" max="15589" width="9.109375" style="737"/>
    <col min="15590" max="15590" width="5.44140625" style="737" customWidth="1"/>
    <col min="15591" max="15591" width="8.109375" style="737" customWidth="1"/>
    <col min="15592" max="15592" width="9.33203125" style="737" customWidth="1"/>
    <col min="15593" max="15593" width="10.6640625" style="737" customWidth="1"/>
    <col min="15594" max="15594" width="9.33203125" style="737" customWidth="1"/>
    <col min="15595" max="15595" width="5.44140625" style="737" customWidth="1"/>
    <col min="15596" max="15596" width="9.109375" style="737"/>
    <col min="15597" max="15597" width="5.44140625" style="737" customWidth="1"/>
    <col min="15598" max="15600" width="9.44140625" style="737" customWidth="1"/>
    <col min="15601" max="15601" width="5.44140625" style="737" customWidth="1"/>
    <col min="15602" max="15603" width="9.109375" style="737"/>
    <col min="15604" max="15604" width="5.44140625" style="737" customWidth="1"/>
    <col min="15605" max="15605" width="13.5546875" style="737" customWidth="1"/>
    <col min="15606" max="15606" width="13.6640625" style="737" customWidth="1"/>
    <col min="15607" max="15607" width="13.5546875" style="737" customWidth="1"/>
    <col min="15608" max="15608" width="5.44140625" style="737" customWidth="1"/>
    <col min="15609" max="15610" width="9.109375" style="737"/>
    <col min="15611" max="15611" width="5.44140625" style="737" customWidth="1"/>
    <col min="15612" max="15612" width="11.109375" style="737" bestFit="1" customWidth="1"/>
    <col min="15613" max="15620" width="9.44140625" style="737" customWidth="1"/>
    <col min="15621" max="15621" width="5.44140625" style="737" customWidth="1"/>
    <col min="15622" max="15754" width="9.109375" style="737"/>
    <col min="15755" max="15755" width="5.88671875" style="737" customWidth="1"/>
    <col min="15756" max="15756" width="5.6640625" style="737" customWidth="1"/>
    <col min="15757" max="15757" width="35.5546875" style="737" customWidth="1"/>
    <col min="15758" max="15758" width="14.5546875" style="737" customWidth="1"/>
    <col min="15759" max="15759" width="14.44140625" style="737" customWidth="1"/>
    <col min="15760" max="15760" width="5.6640625" style="737" customWidth="1"/>
    <col min="15761" max="15761" width="14.5546875" style="737" customWidth="1"/>
    <col min="15762" max="15763" width="5.88671875" style="737" customWidth="1"/>
    <col min="15764" max="15764" width="26.6640625" style="737" customWidth="1"/>
    <col min="15765" max="15768" width="11.33203125" style="737" customWidth="1"/>
    <col min="15769" max="15769" width="5.5546875" style="737" customWidth="1"/>
    <col min="15770" max="15770" width="14.5546875" style="737" customWidth="1"/>
    <col min="15771" max="15771" width="5.6640625" style="737" customWidth="1"/>
    <col min="15772" max="15772" width="30.88671875" style="737" bestFit="1" customWidth="1"/>
    <col min="15773" max="15773" width="9.109375" style="737"/>
    <col min="15774" max="15774" width="10.88671875" style="737" bestFit="1" customWidth="1"/>
    <col min="15775" max="15775" width="42.44140625" style="737" customWidth="1"/>
    <col min="15776" max="15776" width="5.88671875" style="737" customWidth="1"/>
    <col min="15777" max="15777" width="14.44140625" style="737" customWidth="1"/>
    <col min="15778" max="15778" width="5.5546875" style="737" customWidth="1"/>
    <col min="15779" max="15779" width="16" style="737" bestFit="1" customWidth="1"/>
    <col min="15780" max="15785" width="10.33203125" style="737" customWidth="1"/>
    <col min="15786" max="15786" width="5.5546875" style="737" customWidth="1"/>
    <col min="15787" max="15787" width="9.5546875" style="737" customWidth="1"/>
    <col min="15788" max="15788" width="9.109375" style="737"/>
    <col min="15789" max="15789" width="5.44140625" style="737" customWidth="1"/>
    <col min="15790" max="15792" width="9.109375" style="737"/>
    <col min="15793" max="15793" width="5.44140625" style="737" customWidth="1"/>
    <col min="15794" max="15795" width="9.33203125" style="737" customWidth="1"/>
    <col min="15796" max="15796" width="5.44140625" style="737" customWidth="1"/>
    <col min="15797" max="15797" width="21.6640625" style="737" bestFit="1" customWidth="1"/>
    <col min="15798" max="15801" width="11.44140625" style="737" customWidth="1"/>
    <col min="15802" max="15802" width="5.44140625" style="737" customWidth="1"/>
    <col min="15803" max="15803" width="9.109375" style="737"/>
    <col min="15804" max="15804" width="5.5546875" style="737" customWidth="1"/>
    <col min="15805" max="15805" width="16.88671875" style="737" customWidth="1"/>
    <col min="15806" max="15808" width="14.5546875" style="737" customWidth="1"/>
    <col min="15809" max="15809" width="5.5546875" style="737" customWidth="1"/>
    <col min="15810" max="15811" width="9.109375" style="737"/>
    <col min="15812" max="15812" width="5.6640625" style="737" customWidth="1"/>
    <col min="15813" max="15813" width="9.109375" style="737"/>
    <col min="15814" max="15814" width="9" style="737" customWidth="1"/>
    <col min="15815" max="15815" width="9.44140625" style="737" bestFit="1" customWidth="1"/>
    <col min="15816" max="15816" width="10.44140625" style="737" bestFit="1" customWidth="1"/>
    <col min="15817" max="15820" width="9.44140625" style="737" bestFit="1" customWidth="1"/>
    <col min="15821" max="15821" width="5.6640625" style="737" customWidth="1"/>
    <col min="15822" max="15822" width="9.109375" style="737"/>
    <col min="15823" max="15823" width="5.6640625" style="737" customWidth="1"/>
    <col min="15824" max="15824" width="9.109375" style="737"/>
    <col min="15825" max="15825" width="9" style="737" customWidth="1"/>
    <col min="15826" max="15826" width="9.44140625" style="737" bestFit="1" customWidth="1"/>
    <col min="15827" max="15827" width="9.88671875" style="737" bestFit="1" customWidth="1"/>
    <col min="15828" max="15831" width="9.44140625" style="737" bestFit="1" customWidth="1"/>
    <col min="15832" max="15832" width="5.6640625" style="737" customWidth="1"/>
    <col min="15833" max="15833" width="9.109375" style="737"/>
    <col min="15834" max="15834" width="5.5546875" style="737" customWidth="1"/>
    <col min="15835" max="15835" width="16.44140625" style="737" customWidth="1"/>
    <col min="15836" max="15836" width="10.6640625" style="737" customWidth="1"/>
    <col min="15837" max="15842" width="9.5546875" style="737" customWidth="1"/>
    <col min="15843" max="15843" width="5.5546875" style="737" customWidth="1"/>
    <col min="15844" max="15845" width="9.109375" style="737"/>
    <col min="15846" max="15846" width="5.44140625" style="737" customWidth="1"/>
    <col min="15847" max="15847" width="8.109375" style="737" customWidth="1"/>
    <col min="15848" max="15848" width="9.33203125" style="737" customWidth="1"/>
    <col min="15849" max="15849" width="10.6640625" style="737" customWidth="1"/>
    <col min="15850" max="15850" width="9.33203125" style="737" customWidth="1"/>
    <col min="15851" max="15851" width="5.44140625" style="737" customWidth="1"/>
    <col min="15852" max="15852" width="9.109375" style="737"/>
    <col min="15853" max="15853" width="5.44140625" style="737" customWidth="1"/>
    <col min="15854" max="15856" width="9.44140625" style="737" customWidth="1"/>
    <col min="15857" max="15857" width="5.44140625" style="737" customWidth="1"/>
    <col min="15858" max="15859" width="9.109375" style="737"/>
    <col min="15860" max="15860" width="5.44140625" style="737" customWidth="1"/>
    <col min="15861" max="15861" width="13.5546875" style="737" customWidth="1"/>
    <col min="15862" max="15862" width="13.6640625" style="737" customWidth="1"/>
    <col min="15863" max="15863" width="13.5546875" style="737" customWidth="1"/>
    <col min="15864" max="15864" width="5.44140625" style="737" customWidth="1"/>
    <col min="15865" max="15866" width="9.109375" style="737"/>
    <col min="15867" max="15867" width="5.44140625" style="737" customWidth="1"/>
    <col min="15868" max="15868" width="11.109375" style="737" bestFit="1" customWidth="1"/>
    <col min="15869" max="15876" width="9.44140625" style="737" customWidth="1"/>
    <col min="15877" max="15877" width="5.44140625" style="737" customWidth="1"/>
    <col min="15878" max="16010" width="9.109375" style="737"/>
    <col min="16011" max="16011" width="5.88671875" style="737" customWidth="1"/>
    <col min="16012" max="16012" width="5.6640625" style="737" customWidth="1"/>
    <col min="16013" max="16013" width="35.5546875" style="737" customWidth="1"/>
    <col min="16014" max="16014" width="14.5546875" style="737" customWidth="1"/>
    <col min="16015" max="16015" width="14.44140625" style="737" customWidth="1"/>
    <col min="16016" max="16016" width="5.6640625" style="737" customWidth="1"/>
    <col min="16017" max="16017" width="14.5546875" style="737" customWidth="1"/>
    <col min="16018" max="16019" width="5.88671875" style="737" customWidth="1"/>
    <col min="16020" max="16020" width="26.6640625" style="737" customWidth="1"/>
    <col min="16021" max="16024" width="11.33203125" style="737" customWidth="1"/>
    <col min="16025" max="16025" width="5.5546875" style="737" customWidth="1"/>
    <col min="16026" max="16026" width="14.5546875" style="737" customWidth="1"/>
    <col min="16027" max="16027" width="5.6640625" style="737" customWidth="1"/>
    <col min="16028" max="16028" width="30.88671875" style="737" bestFit="1" customWidth="1"/>
    <col min="16029" max="16029" width="9.109375" style="737"/>
    <col min="16030" max="16030" width="10.88671875" style="737" bestFit="1" customWidth="1"/>
    <col min="16031" max="16031" width="42.44140625" style="737" customWidth="1"/>
    <col min="16032" max="16032" width="5.88671875" style="737" customWidth="1"/>
    <col min="16033" max="16033" width="14.44140625" style="737" customWidth="1"/>
    <col min="16034" max="16034" width="5.5546875" style="737" customWidth="1"/>
    <col min="16035" max="16035" width="16" style="737" bestFit="1" customWidth="1"/>
    <col min="16036" max="16041" width="10.33203125" style="737" customWidth="1"/>
    <col min="16042" max="16042" width="5.5546875" style="737" customWidth="1"/>
    <col min="16043" max="16043" width="9.5546875" style="737" customWidth="1"/>
    <col min="16044" max="16044" width="9.109375" style="737"/>
    <col min="16045" max="16045" width="5.44140625" style="737" customWidth="1"/>
    <col min="16046" max="16048" width="9.109375" style="737"/>
    <col min="16049" max="16049" width="5.44140625" style="737" customWidth="1"/>
    <col min="16050" max="16051" width="9.33203125" style="737" customWidth="1"/>
    <col min="16052" max="16052" width="5.44140625" style="737" customWidth="1"/>
    <col min="16053" max="16053" width="21.6640625" style="737" bestFit="1" customWidth="1"/>
    <col min="16054" max="16057" width="11.44140625" style="737" customWidth="1"/>
    <col min="16058" max="16058" width="5.44140625" style="737" customWidth="1"/>
    <col min="16059" max="16059" width="9.109375" style="737"/>
    <col min="16060" max="16060" width="5.5546875" style="737" customWidth="1"/>
    <col min="16061" max="16061" width="16.88671875" style="737" customWidth="1"/>
    <col min="16062" max="16064" width="14.5546875" style="737" customWidth="1"/>
    <col min="16065" max="16065" width="5.5546875" style="737" customWidth="1"/>
    <col min="16066" max="16067" width="9.109375" style="737"/>
    <col min="16068" max="16068" width="5.6640625" style="737" customWidth="1"/>
    <col min="16069" max="16069" width="9.109375" style="737"/>
    <col min="16070" max="16070" width="9" style="737" customWidth="1"/>
    <col min="16071" max="16071" width="9.44140625" style="737" bestFit="1" customWidth="1"/>
    <col min="16072" max="16072" width="10.44140625" style="737" bestFit="1" customWidth="1"/>
    <col min="16073" max="16076" width="9.44140625" style="737" bestFit="1" customWidth="1"/>
    <col min="16077" max="16077" width="5.6640625" style="737" customWidth="1"/>
    <col min="16078" max="16078" width="9.109375" style="737"/>
    <col min="16079" max="16079" width="5.6640625" style="737" customWidth="1"/>
    <col min="16080" max="16080" width="9.109375" style="737"/>
    <col min="16081" max="16081" width="9" style="737" customWidth="1"/>
    <col min="16082" max="16082" width="9.44140625" style="737" bestFit="1" customWidth="1"/>
    <col min="16083" max="16083" width="9.88671875" style="737" bestFit="1" customWidth="1"/>
    <col min="16084" max="16087" width="9.44140625" style="737" bestFit="1" customWidth="1"/>
    <col min="16088" max="16088" width="5.6640625" style="737" customWidth="1"/>
    <col min="16089" max="16089" width="9.109375" style="737"/>
    <col min="16090" max="16090" width="5.5546875" style="737" customWidth="1"/>
    <col min="16091" max="16091" width="16.44140625" style="737" customWidth="1"/>
    <col min="16092" max="16092" width="10.6640625" style="737" customWidth="1"/>
    <col min="16093" max="16098" width="9.5546875" style="737" customWidth="1"/>
    <col min="16099" max="16099" width="5.5546875" style="737" customWidth="1"/>
    <col min="16100" max="16101" width="9.109375" style="737"/>
    <col min="16102" max="16102" width="5.44140625" style="737" customWidth="1"/>
    <col min="16103" max="16103" width="8.109375" style="737" customWidth="1"/>
    <col min="16104" max="16104" width="9.33203125" style="737" customWidth="1"/>
    <col min="16105" max="16105" width="10.6640625" style="737" customWidth="1"/>
    <col min="16106" max="16106" width="9.33203125" style="737" customWidth="1"/>
    <col min="16107" max="16107" width="5.44140625" style="737" customWidth="1"/>
    <col min="16108" max="16108" width="9.109375" style="737"/>
    <col min="16109" max="16109" width="5.44140625" style="737" customWidth="1"/>
    <col min="16110" max="16112" width="9.44140625" style="737" customWidth="1"/>
    <col min="16113" max="16113" width="5.44140625" style="737" customWidth="1"/>
    <col min="16114" max="16115" width="9.109375" style="737"/>
    <col min="16116" max="16116" width="5.44140625" style="737" customWidth="1"/>
    <col min="16117" max="16117" width="13.5546875" style="737" customWidth="1"/>
    <col min="16118" max="16118" width="13.6640625" style="737" customWidth="1"/>
    <col min="16119" max="16119" width="13.5546875" style="737" customWidth="1"/>
    <col min="16120" max="16120" width="5.44140625" style="737" customWidth="1"/>
    <col min="16121" max="16122" width="9.109375" style="737"/>
    <col min="16123" max="16123" width="5.44140625" style="737" customWidth="1"/>
    <col min="16124" max="16124" width="11.109375" style="737" bestFit="1" customWidth="1"/>
    <col min="16125" max="16132" width="9.44140625" style="737" customWidth="1"/>
    <col min="16133" max="16133" width="5.44140625" style="737" customWidth="1"/>
    <col min="16134" max="16384" width="9.109375" style="737"/>
  </cols>
  <sheetData>
    <row r="5" spans="2:8" ht="18.75" x14ac:dyDescent="0.3">
      <c r="B5" s="738" t="s">
        <v>532</v>
      </c>
      <c r="C5" s="738"/>
      <c r="D5" s="738"/>
      <c r="E5" s="738"/>
      <c r="F5" s="738"/>
      <c r="G5" s="738"/>
      <c r="H5" s="738"/>
    </row>
    <row r="7" spans="2:8" ht="13.5" thickBot="1" x14ac:dyDescent="0.25"/>
    <row r="8" spans="2:8" ht="13.5" thickTop="1" x14ac:dyDescent="0.2">
      <c r="B8" s="739"/>
      <c r="C8" s="740"/>
      <c r="D8" s="743"/>
      <c r="E8" s="743"/>
      <c r="F8" s="741"/>
      <c r="G8" s="742"/>
      <c r="H8" s="742"/>
    </row>
    <row r="9" spans="2:8" ht="12.75" x14ac:dyDescent="0.2">
      <c r="B9" s="744"/>
      <c r="C9" s="745" t="s">
        <v>533</v>
      </c>
      <c r="D9" s="746"/>
      <c r="E9" s="746"/>
      <c r="F9" s="747"/>
      <c r="G9" s="748"/>
      <c r="H9" s="748"/>
    </row>
    <row r="10" spans="2:8" ht="12.75" x14ac:dyDescent="0.2">
      <c r="B10" s="744"/>
      <c r="C10" s="750" t="s">
        <v>534</v>
      </c>
      <c r="D10" s="746"/>
      <c r="E10" s="746"/>
      <c r="F10" s="747"/>
      <c r="G10" s="748"/>
      <c r="H10" s="748"/>
    </row>
    <row r="11" spans="2:8" ht="12.75" x14ac:dyDescent="0.2">
      <c r="B11" s="751"/>
      <c r="C11" s="752"/>
      <c r="D11" s="752"/>
      <c r="E11" s="752"/>
      <c r="F11" s="753"/>
      <c r="G11" s="754"/>
      <c r="H11" s="754"/>
    </row>
    <row r="12" spans="2:8" ht="12.75" x14ac:dyDescent="0.2">
      <c r="B12" s="751"/>
      <c r="C12" s="755" t="s">
        <v>535</v>
      </c>
      <c r="D12" s="756" t="s">
        <v>536</v>
      </c>
      <c r="E12" s="757" t="s">
        <v>140</v>
      </c>
      <c r="F12" s="758"/>
      <c r="G12" s="759"/>
      <c r="H12" s="759"/>
    </row>
    <row r="13" spans="2:8" ht="12.75" x14ac:dyDescent="0.2">
      <c r="B13" s="749"/>
      <c r="C13" s="760">
        <v>5</v>
      </c>
      <c r="D13" s="761">
        <v>0.1439</v>
      </c>
      <c r="E13" s="762">
        <v>0.22339999999999999</v>
      </c>
      <c r="F13" s="747"/>
      <c r="G13" s="748"/>
      <c r="H13" s="748"/>
    </row>
    <row r="14" spans="2:8" ht="12.75" x14ac:dyDescent="0.2">
      <c r="B14" s="749"/>
      <c r="C14" s="760">
        <v>6</v>
      </c>
      <c r="D14" s="761">
        <v>0.1366</v>
      </c>
      <c r="E14" s="762">
        <v>0.21299999999999999</v>
      </c>
      <c r="F14" s="747"/>
      <c r="G14" s="748"/>
      <c r="H14" s="748"/>
    </row>
    <row r="15" spans="2:8" ht="12.75" x14ac:dyDescent="0.2">
      <c r="B15" s="749"/>
      <c r="C15" s="760">
        <v>7</v>
      </c>
      <c r="D15" s="761">
        <v>0.1293</v>
      </c>
      <c r="E15" s="762">
        <v>0.2026</v>
      </c>
      <c r="F15" s="747"/>
      <c r="G15" s="748"/>
      <c r="H15" s="748"/>
    </row>
    <row r="16" spans="2:8" ht="12.75" x14ac:dyDescent="0.2">
      <c r="B16" s="749"/>
      <c r="C16" s="760">
        <v>8</v>
      </c>
      <c r="D16" s="761">
        <v>0.122</v>
      </c>
      <c r="E16" s="762">
        <v>0.19220000000000001</v>
      </c>
      <c r="F16" s="747"/>
      <c r="G16" s="748"/>
      <c r="H16" s="748"/>
    </row>
    <row r="17" spans="2:8" ht="12.75" x14ac:dyDescent="0.2">
      <c r="B17" s="749"/>
      <c r="C17" s="760">
        <v>9</v>
      </c>
      <c r="D17" s="761">
        <v>0.1147</v>
      </c>
      <c r="E17" s="762">
        <v>0.18179999999999999</v>
      </c>
      <c r="F17" s="747"/>
      <c r="G17" s="748"/>
      <c r="H17" s="748"/>
    </row>
    <row r="18" spans="2:8" ht="12.75" x14ac:dyDescent="0.2">
      <c r="B18" s="751"/>
      <c r="C18" s="760">
        <v>10</v>
      </c>
      <c r="D18" s="761">
        <v>0.1074</v>
      </c>
      <c r="E18" s="762">
        <v>0.1714</v>
      </c>
      <c r="F18" s="763"/>
      <c r="G18" s="764"/>
      <c r="H18" s="764"/>
    </row>
    <row r="19" spans="2:8" ht="12.75" x14ac:dyDescent="0.2">
      <c r="B19" s="751"/>
      <c r="C19" s="760">
        <v>11</v>
      </c>
      <c r="D19" s="761">
        <v>0.10249999999999999</v>
      </c>
      <c r="E19" s="762">
        <v>0.16309999999999999</v>
      </c>
      <c r="F19" s="763"/>
      <c r="G19" s="764"/>
      <c r="H19" s="764"/>
    </row>
    <row r="20" spans="2:8" ht="12.75" x14ac:dyDescent="0.2">
      <c r="B20" s="751"/>
      <c r="C20" s="760">
        <v>12</v>
      </c>
      <c r="D20" s="761">
        <v>9.7699999999999995E-2</v>
      </c>
      <c r="E20" s="762">
        <v>0.15479999999999999</v>
      </c>
      <c r="F20" s="763"/>
      <c r="G20" s="764"/>
      <c r="H20" s="764"/>
    </row>
    <row r="21" spans="2:8" ht="12.75" x14ac:dyDescent="0.2">
      <c r="B21" s="751"/>
      <c r="C21" s="760">
        <v>13</v>
      </c>
      <c r="D21" s="761">
        <v>9.2899999999999996E-2</v>
      </c>
      <c r="E21" s="762">
        <v>0.14660000000000001</v>
      </c>
      <c r="F21" s="763"/>
      <c r="G21" s="764"/>
      <c r="H21" s="764"/>
    </row>
    <row r="22" spans="2:8" ht="12.75" x14ac:dyDescent="0.2">
      <c r="B22" s="751"/>
      <c r="C22" s="760">
        <v>14</v>
      </c>
      <c r="D22" s="761">
        <v>8.7999999999999995E-2</v>
      </c>
      <c r="E22" s="762">
        <v>0.13830000000000001</v>
      </c>
      <c r="F22" s="763"/>
      <c r="G22" s="764"/>
      <c r="H22" s="764"/>
    </row>
    <row r="23" spans="2:8" ht="12.75" x14ac:dyDescent="0.2">
      <c r="B23" s="749"/>
      <c r="C23" s="760">
        <v>15</v>
      </c>
      <c r="D23" s="761">
        <v>8.3199999999999996E-2</v>
      </c>
      <c r="E23" s="762">
        <v>0.13</v>
      </c>
      <c r="F23" s="747"/>
      <c r="G23" s="748"/>
      <c r="H23" s="764"/>
    </row>
    <row r="24" spans="2:8" ht="12.75" x14ac:dyDescent="0.2">
      <c r="B24" s="749"/>
      <c r="C24" s="760">
        <v>16</v>
      </c>
      <c r="D24" s="761">
        <v>0.08</v>
      </c>
      <c r="E24" s="762">
        <v>0.12470000000000001</v>
      </c>
      <c r="F24" s="747"/>
      <c r="G24" s="748"/>
      <c r="H24" s="748"/>
    </row>
    <row r="25" spans="2:8" ht="12.75" x14ac:dyDescent="0.2">
      <c r="B25" s="749"/>
      <c r="C25" s="760">
        <v>17</v>
      </c>
      <c r="D25" s="761">
        <v>7.6700000000000004E-2</v>
      </c>
      <c r="E25" s="762">
        <v>0.1193</v>
      </c>
      <c r="F25" s="747"/>
      <c r="G25" s="748"/>
      <c r="H25" s="748"/>
    </row>
    <row r="26" spans="2:8" ht="12.75" x14ac:dyDescent="0.2">
      <c r="B26" s="749"/>
      <c r="C26" s="760">
        <v>18</v>
      </c>
      <c r="D26" s="761">
        <v>7.3499999999999996E-2</v>
      </c>
      <c r="E26" s="762">
        <v>0.1139</v>
      </c>
      <c r="F26" s="747"/>
      <c r="G26" s="748"/>
      <c r="H26" s="748"/>
    </row>
    <row r="27" spans="2:8" ht="12.75" x14ac:dyDescent="0.2">
      <c r="B27" s="749"/>
      <c r="C27" s="760">
        <v>19</v>
      </c>
      <c r="D27" s="761">
        <v>7.0199999999999999E-2</v>
      </c>
      <c r="E27" s="762">
        <v>0.1086</v>
      </c>
      <c r="F27" s="747"/>
      <c r="G27" s="748"/>
      <c r="H27" s="748"/>
    </row>
    <row r="28" spans="2:8" ht="12.75" x14ac:dyDescent="0.2">
      <c r="B28" s="749"/>
      <c r="C28" s="760">
        <v>20</v>
      </c>
      <c r="D28" s="761">
        <v>6.7000000000000004E-2</v>
      </c>
      <c r="E28" s="762">
        <v>0.1032</v>
      </c>
      <c r="F28" s="747"/>
      <c r="G28" s="748"/>
      <c r="H28" s="748"/>
    </row>
    <row r="29" spans="2:8" ht="12.75" x14ac:dyDescent="0.2">
      <c r="B29" s="749"/>
      <c r="C29" s="760">
        <v>21</v>
      </c>
      <c r="D29" s="761">
        <v>6.4799999999999996E-2</v>
      </c>
      <c r="E29" s="762">
        <v>9.9699999999999997E-2</v>
      </c>
      <c r="F29" s="747"/>
      <c r="G29" s="748"/>
      <c r="H29" s="748"/>
    </row>
    <row r="30" spans="2:8" ht="12.75" x14ac:dyDescent="0.2">
      <c r="B30" s="749"/>
      <c r="C30" s="760">
        <v>22</v>
      </c>
      <c r="D30" s="761">
        <v>6.2600000000000003E-2</v>
      </c>
      <c r="E30" s="762">
        <v>9.6199999999999994E-2</v>
      </c>
      <c r="F30" s="747"/>
      <c r="G30" s="748"/>
      <c r="H30" s="748"/>
    </row>
    <row r="31" spans="2:8" ht="12.75" x14ac:dyDescent="0.2">
      <c r="B31" s="749"/>
      <c r="C31" s="760">
        <v>23</v>
      </c>
      <c r="D31" s="761">
        <v>6.0299999999999999E-2</v>
      </c>
      <c r="E31" s="762">
        <v>9.2600000000000002E-2</v>
      </c>
      <c r="F31" s="747"/>
      <c r="G31" s="748"/>
      <c r="H31" s="748"/>
    </row>
    <row r="32" spans="2:8" ht="12.75" x14ac:dyDescent="0.2">
      <c r="B32" s="749"/>
      <c r="C32" s="760">
        <v>24</v>
      </c>
      <c r="D32" s="761">
        <v>5.8099999999999999E-2</v>
      </c>
      <c r="E32" s="762">
        <v>8.9099999999999999E-2</v>
      </c>
      <c r="F32" s="747"/>
      <c r="G32" s="748"/>
      <c r="H32" s="748"/>
    </row>
    <row r="33" spans="2:8" ht="12.75" x14ac:dyDescent="0.2">
      <c r="B33" s="749"/>
      <c r="C33" s="760">
        <v>25</v>
      </c>
      <c r="D33" s="761">
        <v>5.5899999999999998E-2</v>
      </c>
      <c r="E33" s="762">
        <v>8.5599999999999996E-2</v>
      </c>
      <c r="F33" s="747"/>
      <c r="G33" s="748"/>
      <c r="H33" s="748"/>
    </row>
    <row r="34" spans="2:8" ht="12.75" x14ac:dyDescent="0.2">
      <c r="B34" s="749"/>
      <c r="C34" s="760">
        <v>26</v>
      </c>
      <c r="D34" s="761">
        <v>5.4399999999999997E-2</v>
      </c>
      <c r="E34" s="762">
        <v>8.3199999999999996E-2</v>
      </c>
      <c r="F34" s="747"/>
      <c r="G34" s="748"/>
      <c r="H34" s="748"/>
    </row>
    <row r="35" spans="2:8" ht="12.75" x14ac:dyDescent="0.2">
      <c r="B35" s="749"/>
      <c r="C35" s="760">
        <v>27</v>
      </c>
      <c r="D35" s="761">
        <v>5.2900000000000003E-2</v>
      </c>
      <c r="E35" s="762">
        <v>8.09E-2</v>
      </c>
      <c r="F35" s="747"/>
      <c r="G35" s="748"/>
      <c r="H35" s="748"/>
    </row>
    <row r="36" spans="2:8" ht="12.75" x14ac:dyDescent="0.2">
      <c r="B36" s="749"/>
      <c r="C36" s="760">
        <v>28</v>
      </c>
      <c r="D36" s="761">
        <v>5.1499999999999997E-2</v>
      </c>
      <c r="E36" s="762">
        <v>7.85E-2</v>
      </c>
      <c r="F36" s="747"/>
      <c r="G36" s="748"/>
      <c r="H36" s="748"/>
    </row>
    <row r="37" spans="2:8" ht="12.75" x14ac:dyDescent="0.2">
      <c r="B37" s="749"/>
      <c r="C37" s="760">
        <v>29</v>
      </c>
      <c r="D37" s="761">
        <v>0.05</v>
      </c>
      <c r="E37" s="762">
        <v>7.6200000000000004E-2</v>
      </c>
      <c r="F37" s="747"/>
      <c r="G37" s="748"/>
      <c r="H37" s="748"/>
    </row>
    <row r="38" spans="2:8" ht="12.75" x14ac:dyDescent="0.2">
      <c r="B38" s="749"/>
      <c r="C38" s="760">
        <v>30</v>
      </c>
      <c r="D38" s="761">
        <v>4.8500000000000001E-2</v>
      </c>
      <c r="E38" s="762">
        <v>7.3800000000000004E-2</v>
      </c>
      <c r="F38" s="747"/>
      <c r="G38" s="748"/>
      <c r="H38" s="748"/>
    </row>
    <row r="39" spans="2:8" ht="12.75" x14ac:dyDescent="0.2">
      <c r="B39" s="749"/>
      <c r="C39" s="760">
        <v>31</v>
      </c>
      <c r="D39" s="761">
        <v>4.7500000000000001E-2</v>
      </c>
      <c r="E39" s="762">
        <v>7.2300000000000003E-2</v>
      </c>
      <c r="F39" s="747"/>
      <c r="G39" s="748"/>
      <c r="H39" s="748"/>
    </row>
    <row r="40" spans="2:8" ht="12.75" x14ac:dyDescent="0.2">
      <c r="B40" s="749"/>
      <c r="C40" s="760">
        <v>32</v>
      </c>
      <c r="D40" s="761">
        <v>4.65E-2</v>
      </c>
      <c r="E40" s="762">
        <v>7.0800000000000002E-2</v>
      </c>
      <c r="F40" s="747"/>
      <c r="G40" s="748"/>
      <c r="H40" s="748"/>
    </row>
    <row r="41" spans="2:8" x14ac:dyDescent="0.25">
      <c r="B41" s="749"/>
      <c r="C41" s="760">
        <v>33</v>
      </c>
      <c r="D41" s="761">
        <v>4.5499999999999999E-2</v>
      </c>
      <c r="E41" s="762">
        <v>6.93E-2</v>
      </c>
      <c r="F41" s="747"/>
      <c r="G41" s="748"/>
      <c r="H41" s="748"/>
    </row>
    <row r="42" spans="2:8" x14ac:dyDescent="0.25">
      <c r="B42" s="749"/>
      <c r="C42" s="760">
        <v>34</v>
      </c>
      <c r="D42" s="761">
        <v>4.4499999999999998E-2</v>
      </c>
      <c r="E42" s="762">
        <v>6.7799999999999999E-2</v>
      </c>
      <c r="F42" s="747"/>
      <c r="G42" s="748"/>
      <c r="H42" s="748"/>
    </row>
    <row r="43" spans="2:8" x14ac:dyDescent="0.25">
      <c r="B43" s="751"/>
      <c r="C43" s="760">
        <v>35</v>
      </c>
      <c r="D43" s="761">
        <v>4.3499999999999997E-2</v>
      </c>
      <c r="E43" s="762">
        <v>6.6299999999999998E-2</v>
      </c>
      <c r="F43" s="766"/>
      <c r="G43" s="767"/>
      <c r="H43" s="748"/>
    </row>
    <row r="44" spans="2:8" x14ac:dyDescent="0.25">
      <c r="B44" s="751"/>
      <c r="C44" s="760">
        <v>36</v>
      </c>
      <c r="D44" s="761">
        <v>4.2900000000000001E-2</v>
      </c>
      <c r="E44" s="762">
        <v>6.54E-2</v>
      </c>
      <c r="F44" s="766"/>
      <c r="G44" s="767"/>
      <c r="H44" s="767"/>
    </row>
    <row r="45" spans="2:8" x14ac:dyDescent="0.25">
      <c r="B45" s="751"/>
      <c r="C45" s="760">
        <v>37</v>
      </c>
      <c r="D45" s="761">
        <v>4.2299999999999997E-2</v>
      </c>
      <c r="E45" s="762">
        <v>6.4500000000000002E-2</v>
      </c>
      <c r="F45" s="766"/>
      <c r="G45" s="767"/>
      <c r="H45" s="767"/>
    </row>
    <row r="46" spans="2:8" x14ac:dyDescent="0.25">
      <c r="B46" s="751"/>
      <c r="C46" s="760">
        <v>38</v>
      </c>
      <c r="D46" s="761">
        <v>4.1700000000000001E-2</v>
      </c>
      <c r="E46" s="762">
        <v>6.3500000000000001E-2</v>
      </c>
      <c r="F46" s="766"/>
      <c r="G46" s="767"/>
      <c r="H46" s="767"/>
    </row>
    <row r="47" spans="2:8" x14ac:dyDescent="0.25">
      <c r="B47" s="751"/>
      <c r="C47" s="760">
        <v>39</v>
      </c>
      <c r="D47" s="761">
        <v>4.1099999999999998E-2</v>
      </c>
      <c r="E47" s="762">
        <v>6.2600000000000003E-2</v>
      </c>
      <c r="F47" s="766"/>
      <c r="G47" s="767"/>
      <c r="H47" s="767"/>
    </row>
    <row r="48" spans="2:8" x14ac:dyDescent="0.25">
      <c r="B48" s="751"/>
      <c r="C48" s="760">
        <v>40</v>
      </c>
      <c r="D48" s="761">
        <v>4.0500000000000001E-2</v>
      </c>
      <c r="E48" s="762">
        <v>6.1699999999999998E-2</v>
      </c>
      <c r="F48" s="763"/>
      <c r="G48" s="764"/>
      <c r="H48" s="767"/>
    </row>
    <row r="49" spans="2:8" x14ac:dyDescent="0.25">
      <c r="B49" s="751"/>
      <c r="C49" s="760">
        <v>41</v>
      </c>
      <c r="D49" s="761">
        <v>4.02E-2</v>
      </c>
      <c r="E49" s="762">
        <v>6.13E-2</v>
      </c>
      <c r="F49" s="763"/>
      <c r="G49" s="764"/>
      <c r="H49" s="764"/>
    </row>
    <row r="50" spans="2:8" x14ac:dyDescent="0.25">
      <c r="B50" s="751"/>
      <c r="C50" s="760">
        <v>42</v>
      </c>
      <c r="D50" s="761">
        <v>0.04</v>
      </c>
      <c r="E50" s="762">
        <v>6.0900000000000003E-2</v>
      </c>
      <c r="F50" s="763"/>
      <c r="G50" s="764"/>
      <c r="H50" s="764"/>
    </row>
    <row r="51" spans="2:8" x14ac:dyDescent="0.25">
      <c r="B51" s="751"/>
      <c r="C51" s="760">
        <v>43</v>
      </c>
      <c r="D51" s="761">
        <v>3.9699999999999999E-2</v>
      </c>
      <c r="E51" s="762">
        <v>6.0400000000000002E-2</v>
      </c>
      <c r="F51" s="763"/>
      <c r="G51" s="764"/>
      <c r="H51" s="764"/>
    </row>
    <row r="52" spans="2:8" x14ac:dyDescent="0.25">
      <c r="B52" s="751"/>
      <c r="C52" s="760">
        <v>44</v>
      </c>
      <c r="D52" s="761">
        <v>3.9399999999999998E-2</v>
      </c>
      <c r="E52" s="762">
        <v>0.06</v>
      </c>
      <c r="F52" s="763"/>
      <c r="G52" s="764"/>
      <c r="H52" s="764"/>
    </row>
    <row r="53" spans="2:8" x14ac:dyDescent="0.25">
      <c r="B53" s="751"/>
      <c r="C53" s="760">
        <v>45</v>
      </c>
      <c r="D53" s="761">
        <v>3.9100000000000003E-2</v>
      </c>
      <c r="E53" s="762">
        <v>5.96E-2</v>
      </c>
      <c r="F53" s="763"/>
      <c r="G53" s="764"/>
      <c r="H53" s="764"/>
    </row>
    <row r="54" spans="2:8" x14ac:dyDescent="0.25">
      <c r="B54" s="751"/>
      <c r="C54" s="760">
        <v>46</v>
      </c>
      <c r="D54" s="761">
        <v>3.9100000000000003E-2</v>
      </c>
      <c r="E54" s="762">
        <v>5.96E-2</v>
      </c>
      <c r="F54" s="763"/>
      <c r="G54" s="764"/>
      <c r="H54" s="764"/>
    </row>
    <row r="55" spans="2:8" x14ac:dyDescent="0.25">
      <c r="B55" s="751"/>
      <c r="C55" s="760">
        <v>47</v>
      </c>
      <c r="D55" s="761">
        <v>3.9100000000000003E-2</v>
      </c>
      <c r="E55" s="762">
        <v>5.96E-2</v>
      </c>
      <c r="F55" s="763"/>
      <c r="G55" s="764"/>
      <c r="H55" s="764"/>
    </row>
    <row r="56" spans="2:8" x14ac:dyDescent="0.25">
      <c r="B56" s="751"/>
      <c r="C56" s="760">
        <v>48</v>
      </c>
      <c r="D56" s="761">
        <v>3.9100000000000003E-2</v>
      </c>
      <c r="E56" s="762">
        <v>5.96E-2</v>
      </c>
      <c r="F56" s="763"/>
      <c r="G56" s="764"/>
      <c r="H56" s="764"/>
    </row>
    <row r="57" spans="2:8" x14ac:dyDescent="0.25">
      <c r="B57" s="751"/>
      <c r="C57" s="760">
        <v>49</v>
      </c>
      <c r="D57" s="761">
        <v>3.9100000000000003E-2</v>
      </c>
      <c r="E57" s="762">
        <v>5.96E-2</v>
      </c>
      <c r="F57" s="763"/>
      <c r="G57" s="764"/>
      <c r="H57" s="764"/>
    </row>
    <row r="58" spans="2:8" x14ac:dyDescent="0.25">
      <c r="B58" s="751"/>
      <c r="C58" s="760">
        <v>50</v>
      </c>
      <c r="D58" s="761">
        <v>3.9E-2</v>
      </c>
      <c r="E58" s="762">
        <v>5.96E-2</v>
      </c>
      <c r="F58" s="763"/>
      <c r="G58" s="764"/>
      <c r="H58" s="764"/>
    </row>
    <row r="59" spans="2:8" x14ac:dyDescent="0.25">
      <c r="B59" s="751"/>
      <c r="C59" s="760">
        <v>51</v>
      </c>
      <c r="D59" s="761">
        <v>3.9300000000000002E-2</v>
      </c>
      <c r="E59" s="762">
        <v>0.06</v>
      </c>
      <c r="F59" s="763"/>
      <c r="G59" s="764"/>
      <c r="H59" s="764"/>
    </row>
    <row r="60" spans="2:8" x14ac:dyDescent="0.25">
      <c r="B60" s="751"/>
      <c r="C60" s="760">
        <v>52</v>
      </c>
      <c r="D60" s="761">
        <v>3.9600000000000003E-2</v>
      </c>
      <c r="E60" s="762">
        <v>6.0400000000000002E-2</v>
      </c>
      <c r="F60" s="763"/>
      <c r="G60" s="764"/>
      <c r="H60" s="764"/>
    </row>
    <row r="61" spans="2:8" x14ac:dyDescent="0.25">
      <c r="B61" s="751"/>
      <c r="C61" s="760">
        <v>53</v>
      </c>
      <c r="D61" s="761">
        <v>3.9899999999999998E-2</v>
      </c>
      <c r="E61" s="762">
        <v>6.08E-2</v>
      </c>
      <c r="F61" s="763"/>
      <c r="G61" s="764"/>
      <c r="H61" s="764"/>
    </row>
    <row r="62" spans="2:8" x14ac:dyDescent="0.25">
      <c r="B62" s="751"/>
      <c r="C62" s="760">
        <v>54</v>
      </c>
      <c r="D62" s="761">
        <v>4.0099999999999997E-2</v>
      </c>
      <c r="E62" s="762">
        <v>6.1199999999999997E-2</v>
      </c>
      <c r="F62" s="763"/>
      <c r="G62" s="764"/>
      <c r="H62" s="764"/>
    </row>
    <row r="63" spans="2:8" x14ac:dyDescent="0.25">
      <c r="B63" s="751"/>
      <c r="C63" s="760">
        <v>55</v>
      </c>
      <c r="D63" s="761">
        <v>4.0399999999999998E-2</v>
      </c>
      <c r="E63" s="762">
        <v>6.1699999999999998E-2</v>
      </c>
      <c r="F63" s="763"/>
      <c r="G63" s="764"/>
      <c r="H63" s="764"/>
    </row>
    <row r="64" spans="2:8" x14ac:dyDescent="0.25">
      <c r="B64" s="751"/>
      <c r="C64" s="760">
        <v>56</v>
      </c>
      <c r="D64" s="761">
        <v>4.1000000000000002E-2</v>
      </c>
      <c r="E64" s="762">
        <v>6.2600000000000003E-2</v>
      </c>
      <c r="F64" s="763"/>
      <c r="G64" s="764"/>
      <c r="H64" s="764"/>
    </row>
    <row r="65" spans="2:8" x14ac:dyDescent="0.25">
      <c r="B65" s="751"/>
      <c r="C65" s="760">
        <v>57</v>
      </c>
      <c r="D65" s="761">
        <v>4.1599999999999998E-2</v>
      </c>
      <c r="E65" s="762">
        <v>6.3500000000000001E-2</v>
      </c>
      <c r="F65" s="763"/>
      <c r="G65" s="764"/>
      <c r="H65" s="764"/>
    </row>
    <row r="66" spans="2:8" x14ac:dyDescent="0.25">
      <c r="B66" s="751"/>
      <c r="C66" s="760">
        <v>58</v>
      </c>
      <c r="D66" s="761">
        <v>4.2200000000000001E-2</v>
      </c>
      <c r="E66" s="762">
        <v>6.4399999999999999E-2</v>
      </c>
      <c r="F66" s="763"/>
      <c r="G66" s="764"/>
      <c r="H66" s="764"/>
    </row>
    <row r="67" spans="2:8" x14ac:dyDescent="0.25">
      <c r="B67" s="751"/>
      <c r="C67" s="760">
        <v>59</v>
      </c>
      <c r="D67" s="761">
        <v>4.2799999999999998E-2</v>
      </c>
      <c r="E67" s="762">
        <v>6.5299999999999997E-2</v>
      </c>
      <c r="F67" s="763"/>
      <c r="G67" s="764"/>
      <c r="H67" s="764"/>
    </row>
    <row r="68" spans="2:8" x14ac:dyDescent="0.25">
      <c r="B68" s="749"/>
      <c r="C68" s="760">
        <v>60</v>
      </c>
      <c r="D68" s="761">
        <v>4.3299999999999998E-2</v>
      </c>
      <c r="E68" s="762">
        <v>6.6199999999999995E-2</v>
      </c>
      <c r="F68" s="763"/>
      <c r="G68" s="764"/>
      <c r="H68" s="764"/>
    </row>
    <row r="69" spans="2:8" x14ac:dyDescent="0.25">
      <c r="B69" s="749"/>
      <c r="C69" s="760">
        <v>61</v>
      </c>
      <c r="D69" s="761">
        <v>4.4299999999999999E-2</v>
      </c>
      <c r="E69" s="762">
        <v>6.7699999999999996E-2</v>
      </c>
      <c r="F69" s="763"/>
      <c r="G69" s="764"/>
      <c r="H69" s="764"/>
    </row>
    <row r="70" spans="2:8" x14ac:dyDescent="0.25">
      <c r="B70" s="749"/>
      <c r="C70" s="760">
        <v>62</v>
      </c>
      <c r="D70" s="761">
        <v>4.53E-2</v>
      </c>
      <c r="E70" s="762">
        <v>6.9199999999999998E-2</v>
      </c>
      <c r="F70" s="763"/>
      <c r="G70" s="764"/>
    </row>
    <row r="71" spans="2:8" ht="14.25" customHeight="1" x14ac:dyDescent="0.25">
      <c r="B71" s="749"/>
      <c r="C71" s="760">
        <v>63</v>
      </c>
      <c r="D71" s="761">
        <v>4.6199999999999998E-2</v>
      </c>
      <c r="E71" s="762">
        <v>7.0800000000000002E-2</v>
      </c>
      <c r="F71" s="763"/>
      <c r="G71" s="764"/>
    </row>
    <row r="72" spans="2:8" ht="14.25" customHeight="1" x14ac:dyDescent="0.25">
      <c r="B72" s="749"/>
      <c r="C72" s="760">
        <v>64</v>
      </c>
      <c r="D72" s="761">
        <v>4.7199999999999999E-2</v>
      </c>
      <c r="E72" s="762">
        <v>7.2300000000000003E-2</v>
      </c>
      <c r="F72" s="763"/>
      <c r="G72" s="764"/>
    </row>
    <row r="73" spans="2:8" ht="14.25" customHeight="1" x14ac:dyDescent="0.25">
      <c r="B73" s="749"/>
      <c r="C73" s="760">
        <v>65</v>
      </c>
      <c r="D73" s="761">
        <v>4.82E-2</v>
      </c>
      <c r="E73" s="762">
        <v>7.3800000000000004E-2</v>
      </c>
      <c r="F73" s="763"/>
      <c r="G73" s="764"/>
    </row>
    <row r="74" spans="2:8" ht="14.25" customHeight="1" x14ac:dyDescent="0.25">
      <c r="B74" s="749"/>
      <c r="C74" s="760">
        <v>66</v>
      </c>
      <c r="D74" s="768">
        <v>4.8800000000000003E-2</v>
      </c>
      <c r="E74" s="769">
        <v>7.5200000000000003E-2</v>
      </c>
      <c r="F74" s="763"/>
      <c r="G74" s="764"/>
    </row>
    <row r="75" spans="2:8" ht="14.25" customHeight="1" x14ac:dyDescent="0.25">
      <c r="B75" s="749"/>
      <c r="C75" s="760">
        <v>67</v>
      </c>
      <c r="D75" s="768">
        <v>4.9500000000000002E-2</v>
      </c>
      <c r="E75" s="769">
        <v>7.6700000000000004E-2</v>
      </c>
      <c r="F75" s="763"/>
      <c r="G75" s="764"/>
    </row>
    <row r="76" spans="2:8" ht="14.25" customHeight="1" x14ac:dyDescent="0.25">
      <c r="B76" s="749"/>
      <c r="C76" s="760">
        <v>68</v>
      </c>
      <c r="D76" s="768">
        <v>5.0200000000000002E-2</v>
      </c>
      <c r="E76" s="769">
        <v>7.8100000000000003E-2</v>
      </c>
      <c r="F76" s="763"/>
      <c r="G76" s="764"/>
    </row>
    <row r="77" spans="2:8" ht="14.25" customHeight="1" x14ac:dyDescent="0.25">
      <c r="B77" s="749"/>
      <c r="C77" s="760">
        <v>69</v>
      </c>
      <c r="D77" s="768">
        <v>5.0900000000000001E-2</v>
      </c>
      <c r="E77" s="769">
        <v>7.9600000000000004E-2</v>
      </c>
      <c r="F77" s="763"/>
      <c r="G77" s="764"/>
    </row>
    <row r="78" spans="2:8" ht="14.25" customHeight="1" x14ac:dyDescent="0.25">
      <c r="B78" s="749"/>
      <c r="C78" s="760">
        <v>70</v>
      </c>
      <c r="D78" s="768">
        <v>5.1499999999999997E-2</v>
      </c>
      <c r="E78" s="769">
        <v>8.1000000000000003E-2</v>
      </c>
      <c r="F78" s="763"/>
      <c r="G78" s="764"/>
    </row>
    <row r="79" spans="2:8" ht="14.25" customHeight="1" x14ac:dyDescent="0.25">
      <c r="B79" s="749"/>
      <c r="C79" s="760">
        <v>71</v>
      </c>
      <c r="D79" s="768">
        <v>5.16E-2</v>
      </c>
      <c r="E79" s="769">
        <v>8.2100000000000006E-2</v>
      </c>
      <c r="F79" s="763"/>
      <c r="G79" s="764"/>
    </row>
    <row r="80" spans="2:8" ht="14.25" customHeight="1" x14ac:dyDescent="0.25">
      <c r="B80" s="749"/>
      <c r="C80" s="760">
        <v>72</v>
      </c>
      <c r="D80" s="768">
        <v>5.16E-2</v>
      </c>
      <c r="E80" s="769">
        <v>8.3099999999999993E-2</v>
      </c>
      <c r="F80" s="763"/>
    </row>
    <row r="81" spans="2:6" ht="14.25" customHeight="1" x14ac:dyDescent="0.25">
      <c r="B81" s="749"/>
      <c r="C81" s="760">
        <v>73</v>
      </c>
      <c r="D81" s="768">
        <v>5.16E-2</v>
      </c>
      <c r="E81" s="769">
        <v>8.4199999999999997E-2</v>
      </c>
      <c r="F81" s="763"/>
    </row>
    <row r="82" spans="2:6" ht="14.25" customHeight="1" x14ac:dyDescent="0.25">
      <c r="B82" s="749"/>
      <c r="C82" s="760">
        <v>74</v>
      </c>
      <c r="D82" s="768">
        <v>5.1700000000000003E-2</v>
      </c>
      <c r="E82" s="769">
        <v>8.5400000000000004E-2</v>
      </c>
      <c r="F82" s="763"/>
    </row>
    <row r="83" spans="2:6" ht="14.25" customHeight="1" x14ac:dyDescent="0.25">
      <c r="B83" s="749"/>
      <c r="C83" s="760">
        <v>75</v>
      </c>
      <c r="D83" s="768">
        <v>5.1700000000000003E-2</v>
      </c>
      <c r="E83" s="769">
        <v>8.6499999999999994E-2</v>
      </c>
      <c r="F83" s="763"/>
    </row>
    <row r="84" spans="2:6" ht="14.25" customHeight="1" x14ac:dyDescent="0.25">
      <c r="B84" s="749"/>
      <c r="C84" s="760">
        <v>76</v>
      </c>
      <c r="D84" s="768">
        <v>5.1799999999999999E-2</v>
      </c>
      <c r="E84" s="769">
        <v>8.8200000000000001E-2</v>
      </c>
      <c r="F84" s="763"/>
    </row>
    <row r="85" spans="2:6" ht="14.25" customHeight="1" x14ac:dyDescent="0.25">
      <c r="B85" s="749"/>
      <c r="C85" s="760">
        <v>77</v>
      </c>
      <c r="D85" s="768">
        <v>5.1799999999999999E-2</v>
      </c>
      <c r="E85" s="769">
        <v>0.09</v>
      </c>
      <c r="F85" s="763"/>
    </row>
    <row r="86" spans="2:6" ht="14.25" customHeight="1" x14ac:dyDescent="0.25">
      <c r="B86" s="749"/>
      <c r="C86" s="760">
        <v>78</v>
      </c>
      <c r="D86" s="768">
        <v>5.1900000000000002E-2</v>
      </c>
      <c r="E86" s="769">
        <v>9.1800000000000007E-2</v>
      </c>
      <c r="F86" s="763"/>
    </row>
    <row r="87" spans="2:6" ht="14.25" customHeight="1" x14ac:dyDescent="0.25">
      <c r="B87" s="749"/>
      <c r="C87" s="760">
        <v>79</v>
      </c>
      <c r="D87" s="768">
        <v>5.1900000000000002E-2</v>
      </c>
      <c r="E87" s="769">
        <v>9.3600000000000003E-2</v>
      </c>
      <c r="F87" s="763"/>
    </row>
    <row r="88" spans="2:6" ht="14.25" customHeight="1" x14ac:dyDescent="0.25">
      <c r="B88" s="749"/>
      <c r="C88" s="770">
        <v>80</v>
      </c>
      <c r="D88" s="771">
        <v>5.1999999999999998E-2</v>
      </c>
      <c r="E88" s="772">
        <v>9.5299999999999996E-2</v>
      </c>
      <c r="F88" s="763"/>
    </row>
    <row r="89" spans="2:6" ht="14.25" customHeight="1" thickBot="1" x14ac:dyDescent="0.3">
      <c r="B89" s="773"/>
      <c r="C89" s="774"/>
      <c r="D89" s="774"/>
      <c r="E89" s="774"/>
      <c r="F89" s="775"/>
    </row>
    <row r="90" spans="2:6" ht="14.25" customHeight="1" thickTop="1" x14ac:dyDescent="0.25">
      <c r="B90" s="765" t="s">
        <v>537</v>
      </c>
      <c r="C90" s="776"/>
    </row>
    <row r="91" spans="2:6" ht="14.25" customHeight="1" x14ac:dyDescent="0.25">
      <c r="B91" s="765" t="s">
        <v>538</v>
      </c>
    </row>
    <row r="92" spans="2:6" ht="14.25" customHeight="1" x14ac:dyDescent="0.25">
      <c r="B92" s="765"/>
    </row>
    <row r="93" spans="2:6" ht="14.25" customHeight="1" x14ac:dyDescent="0.25">
      <c r="B93" s="765" t="s">
        <v>539</v>
      </c>
    </row>
    <row r="94" spans="2:6" ht="14.25" customHeight="1" x14ac:dyDescent="0.25">
      <c r="B94" s="765" t="s">
        <v>540</v>
      </c>
    </row>
    <row r="95" spans="2:6" ht="14.25" customHeight="1" x14ac:dyDescent="0.25"/>
    <row r="96" spans="2:6" ht="14.25" customHeight="1" x14ac:dyDescent="0.25"/>
    <row r="97" spans="2:3" ht="14.25" customHeight="1" x14ac:dyDescent="0.25"/>
    <row r="98" spans="2:3" ht="14.25" customHeight="1" x14ac:dyDescent="0.25"/>
    <row r="99" spans="2:3" ht="14.25" customHeight="1" x14ac:dyDescent="0.25"/>
    <row r="100" spans="2:3" ht="14.25" customHeight="1" x14ac:dyDescent="0.25">
      <c r="B100" s="776"/>
      <c r="C100" s="776"/>
    </row>
    <row r="101" spans="2:3" ht="14.25" customHeight="1" x14ac:dyDescent="0.25">
      <c r="B101" s="776"/>
      <c r="C101" s="776"/>
    </row>
    <row r="102" spans="2:3" ht="14.25" customHeight="1" x14ac:dyDescent="0.25">
      <c r="B102" s="776"/>
      <c r="C102" s="776"/>
    </row>
    <row r="103" spans="2:3" ht="14.25" customHeight="1" x14ac:dyDescent="0.25">
      <c r="B103" s="776"/>
      <c r="C103" s="776"/>
    </row>
    <row r="104" spans="2:3" ht="14.25" customHeight="1" x14ac:dyDescent="0.25">
      <c r="B104" s="776"/>
      <c r="C104" s="776"/>
    </row>
    <row r="105" spans="2:3" ht="14.25" customHeight="1" x14ac:dyDescent="0.25">
      <c r="B105" s="776"/>
      <c r="C105" s="776"/>
    </row>
    <row r="106" spans="2:3" ht="14.25" customHeight="1" x14ac:dyDescent="0.25">
      <c r="B106" s="776"/>
      <c r="C106" s="776"/>
    </row>
    <row r="107" spans="2:3" ht="14.25" customHeight="1" x14ac:dyDescent="0.25">
      <c r="B107" s="776"/>
      <c r="C107" s="776"/>
    </row>
    <row r="108" spans="2:3" ht="14.25" customHeight="1" x14ac:dyDescent="0.25">
      <c r="B108" s="776"/>
      <c r="C108" s="776"/>
    </row>
    <row r="109" spans="2:3" ht="14.25" customHeight="1" x14ac:dyDescent="0.25">
      <c r="B109" s="776"/>
      <c r="C109" s="776"/>
    </row>
    <row r="110" spans="2:3" ht="14.25" customHeight="1" x14ac:dyDescent="0.25">
      <c r="B110" s="776"/>
      <c r="C110" s="776"/>
    </row>
    <row r="111" spans="2:3" ht="14.25" customHeight="1" x14ac:dyDescent="0.25">
      <c r="B111" s="776"/>
      <c r="C111" s="776"/>
    </row>
    <row r="112" spans="2:3" ht="14.25" customHeight="1" x14ac:dyDescent="0.25">
      <c r="B112" s="776"/>
      <c r="C112" s="776"/>
    </row>
    <row r="113" spans="2:3" ht="14.25" customHeight="1" x14ac:dyDescent="0.25">
      <c r="B113" s="776"/>
      <c r="C113" s="776"/>
    </row>
    <row r="114" spans="2:3" ht="14.25" customHeight="1" x14ac:dyDescent="0.25">
      <c r="B114" s="776"/>
      <c r="C114" s="776"/>
    </row>
    <row r="115" spans="2:3" ht="14.25" customHeight="1" x14ac:dyDescent="0.25">
      <c r="B115" s="776"/>
      <c r="C115" s="776"/>
    </row>
    <row r="116" spans="2:3" ht="14.25" customHeight="1" x14ac:dyDescent="0.25">
      <c r="B116" s="776"/>
      <c r="C116" s="776"/>
    </row>
    <row r="117" spans="2:3" ht="14.25" customHeight="1" x14ac:dyDescent="0.25">
      <c r="B117" s="776"/>
      <c r="C117" s="776"/>
    </row>
    <row r="118" spans="2:3" ht="14.25" customHeight="1" x14ac:dyDescent="0.25">
      <c r="B118" s="776"/>
      <c r="C118" s="776"/>
    </row>
    <row r="119" spans="2:3" ht="14.25" customHeight="1" x14ac:dyDescent="0.25">
      <c r="B119" s="776"/>
      <c r="C119" s="776"/>
    </row>
    <row r="120" spans="2:3" ht="14.25" customHeight="1" x14ac:dyDescent="0.25">
      <c r="B120" s="776"/>
      <c r="C120" s="776"/>
    </row>
    <row r="121" spans="2:3" ht="14.25" customHeight="1" x14ac:dyDescent="0.25">
      <c r="B121" s="776"/>
      <c r="C121" s="776"/>
    </row>
    <row r="122" spans="2:3" ht="14.25" customHeight="1" x14ac:dyDescent="0.25">
      <c r="B122" s="776"/>
      <c r="C122" s="776"/>
    </row>
    <row r="123" spans="2:3" ht="14.25" customHeight="1" x14ac:dyDescent="0.25">
      <c r="B123" s="776"/>
      <c r="C123" s="776"/>
    </row>
    <row r="124" spans="2:3" ht="14.25" customHeight="1" x14ac:dyDescent="0.25">
      <c r="B124" s="776"/>
      <c r="C124" s="776"/>
    </row>
    <row r="125" spans="2:3" ht="14.25" customHeight="1" x14ac:dyDescent="0.25">
      <c r="B125" s="776"/>
      <c r="C125" s="776"/>
    </row>
    <row r="126" spans="2:3" ht="14.25" customHeight="1" x14ac:dyDescent="0.25">
      <c r="B126" s="776"/>
      <c r="C126" s="776"/>
    </row>
    <row r="127" spans="2:3" ht="14.25" customHeight="1" x14ac:dyDescent="0.25">
      <c r="B127" s="776"/>
      <c r="C127" s="776"/>
    </row>
    <row r="128" spans="2:3" ht="14.25" customHeight="1" x14ac:dyDescent="0.25">
      <c r="B128" s="776"/>
      <c r="C128" s="776"/>
    </row>
    <row r="129" spans="2:3" ht="14.25" customHeight="1" x14ac:dyDescent="0.25">
      <c r="B129" s="776"/>
      <c r="C129" s="776"/>
    </row>
    <row r="130" spans="2:3" ht="14.25" customHeight="1" x14ac:dyDescent="0.25">
      <c r="B130" s="776"/>
      <c r="C130" s="776"/>
    </row>
    <row r="131" spans="2:3" ht="14.25" customHeight="1" x14ac:dyDescent="0.25">
      <c r="B131" s="776"/>
      <c r="C131" s="776"/>
    </row>
    <row r="132" spans="2:3" ht="14.25" customHeight="1" x14ac:dyDescent="0.25">
      <c r="B132" s="776"/>
      <c r="C132" s="776"/>
    </row>
    <row r="133" spans="2:3" ht="14.25" customHeight="1" x14ac:dyDescent="0.25">
      <c r="B133" s="776"/>
      <c r="C133" s="776"/>
    </row>
    <row r="134" spans="2:3" ht="14.25" customHeight="1" x14ac:dyDescent="0.25">
      <c r="B134" s="776"/>
      <c r="C134" s="776"/>
    </row>
    <row r="135" spans="2:3" ht="14.25" customHeight="1" x14ac:dyDescent="0.25">
      <c r="B135" s="776"/>
      <c r="C135" s="776"/>
    </row>
    <row r="136" spans="2:3" ht="14.25" customHeight="1" x14ac:dyDescent="0.25">
      <c r="B136" s="776"/>
      <c r="C136" s="776"/>
    </row>
    <row r="137" spans="2:3" ht="14.25" customHeight="1" x14ac:dyDescent="0.25">
      <c r="B137" s="776"/>
      <c r="C137" s="776"/>
    </row>
    <row r="138" spans="2:3" ht="14.25" customHeight="1" x14ac:dyDescent="0.25">
      <c r="B138" s="776"/>
      <c r="C138" s="776"/>
    </row>
    <row r="139" spans="2:3" ht="14.25" customHeight="1" x14ac:dyDescent="0.25">
      <c r="B139" s="776"/>
      <c r="C139" s="776"/>
    </row>
    <row r="140" spans="2:3" ht="14.25" customHeight="1" x14ac:dyDescent="0.25">
      <c r="B140" s="776"/>
      <c r="C140" s="776"/>
    </row>
    <row r="141" spans="2:3" ht="14.25" customHeight="1" x14ac:dyDescent="0.25">
      <c r="B141" s="776"/>
      <c r="C141" s="776"/>
    </row>
    <row r="142" spans="2:3" ht="14.25" customHeight="1" x14ac:dyDescent="0.25">
      <c r="B142" s="776"/>
      <c r="C142" s="776"/>
    </row>
    <row r="143" spans="2:3" ht="14.25" customHeight="1" x14ac:dyDescent="0.25">
      <c r="B143" s="776"/>
      <c r="C143" s="776"/>
    </row>
    <row r="144" spans="2:3" ht="14.25" customHeight="1" x14ac:dyDescent="0.25">
      <c r="B144" s="776"/>
      <c r="C144" s="776"/>
    </row>
    <row r="145" spans="2:3" ht="14.25" customHeight="1" x14ac:dyDescent="0.25">
      <c r="B145" s="776"/>
      <c r="C145" s="776"/>
    </row>
    <row r="146" spans="2:3" ht="14.25" customHeight="1" x14ac:dyDescent="0.25">
      <c r="B146" s="776"/>
      <c r="C146" s="776"/>
    </row>
    <row r="147" spans="2:3" ht="14.25" customHeight="1" x14ac:dyDescent="0.25">
      <c r="B147" s="776"/>
      <c r="C147" s="776"/>
    </row>
    <row r="148" spans="2:3" ht="14.25" customHeight="1" x14ac:dyDescent="0.25">
      <c r="B148" s="776"/>
      <c r="C148" s="776"/>
    </row>
    <row r="149" spans="2:3" ht="14.25" customHeight="1" x14ac:dyDescent="0.25">
      <c r="B149" s="776"/>
      <c r="C149" s="776"/>
    </row>
    <row r="150" spans="2:3" ht="14.25" customHeight="1" x14ac:dyDescent="0.25">
      <c r="B150" s="776"/>
      <c r="C150" s="776"/>
    </row>
    <row r="151" spans="2:3" ht="14.25" customHeight="1" x14ac:dyDescent="0.25">
      <c r="B151" s="776"/>
      <c r="C151" s="776"/>
    </row>
    <row r="152" spans="2:3" ht="14.25" customHeight="1" x14ac:dyDescent="0.25">
      <c r="B152" s="776"/>
      <c r="C152" s="776"/>
    </row>
    <row r="153" spans="2:3" ht="14.25" customHeight="1" x14ac:dyDescent="0.25">
      <c r="B153" s="776"/>
      <c r="C153" s="776"/>
    </row>
    <row r="154" spans="2:3" ht="14.25" customHeight="1" x14ac:dyDescent="0.25">
      <c r="B154" s="776"/>
      <c r="C154" s="776"/>
    </row>
    <row r="155" spans="2:3" ht="14.25" customHeight="1" x14ac:dyDescent="0.25">
      <c r="B155" s="776"/>
      <c r="C155" s="776"/>
    </row>
    <row r="156" spans="2:3" ht="14.25" customHeight="1" x14ac:dyDescent="0.25">
      <c r="B156" s="776"/>
      <c r="C156" s="776"/>
    </row>
    <row r="157" spans="2:3" ht="14.25" customHeight="1" x14ac:dyDescent="0.25">
      <c r="B157" s="776"/>
      <c r="C157" s="776"/>
    </row>
    <row r="158" spans="2:3" ht="14.25" customHeight="1" x14ac:dyDescent="0.25">
      <c r="B158" s="776"/>
      <c r="C158" s="776"/>
    </row>
    <row r="159" spans="2:3" ht="14.25" customHeight="1" x14ac:dyDescent="0.25">
      <c r="B159" s="776"/>
      <c r="C159" s="776"/>
    </row>
    <row r="160" spans="2:3" ht="14.25" customHeight="1" x14ac:dyDescent="0.25">
      <c r="B160" s="776"/>
      <c r="C160" s="776"/>
    </row>
    <row r="161" spans="2:3" ht="14.25" customHeight="1" x14ac:dyDescent="0.25">
      <c r="B161" s="776"/>
      <c r="C161" s="776"/>
    </row>
    <row r="162" spans="2:3" ht="14.25" customHeight="1" x14ac:dyDescent="0.25">
      <c r="B162" s="776"/>
      <c r="C162" s="776"/>
    </row>
    <row r="163" spans="2:3" ht="14.25" customHeight="1" x14ac:dyDescent="0.25">
      <c r="B163" s="776"/>
      <c r="C163" s="776"/>
    </row>
    <row r="164" spans="2:3" ht="14.25" customHeight="1" x14ac:dyDescent="0.25">
      <c r="B164" s="776"/>
      <c r="C164" s="776"/>
    </row>
    <row r="165" spans="2:3" ht="14.25" customHeight="1" x14ac:dyDescent="0.25">
      <c r="B165" s="776"/>
      <c r="C165" s="776"/>
    </row>
    <row r="166" spans="2:3" ht="14.25" customHeight="1" x14ac:dyDescent="0.25">
      <c r="B166" s="776"/>
      <c r="C166" s="776"/>
    </row>
    <row r="167" spans="2:3" ht="14.25" customHeight="1" x14ac:dyDescent="0.25"/>
    <row r="168" spans="2:3" ht="14.25" customHeight="1" x14ac:dyDescent="0.25"/>
    <row r="169" spans="2:3" ht="14.25" customHeight="1" x14ac:dyDescent="0.25"/>
    <row r="170" spans="2:3" ht="14.25" customHeight="1" x14ac:dyDescent="0.25"/>
    <row r="171" spans="2:3" ht="14.25" customHeight="1" x14ac:dyDescent="0.25"/>
    <row r="172" spans="2:3" ht="14.25" customHeight="1" x14ac:dyDescent="0.25"/>
    <row r="173" spans="2:3" ht="14.25" customHeight="1" x14ac:dyDescent="0.25"/>
    <row r="174" spans="2:3" ht="14.25" customHeight="1" x14ac:dyDescent="0.25"/>
    <row r="175" spans="2:3" ht="14.25" customHeight="1" x14ac:dyDescent="0.25"/>
    <row r="176" spans="2:3"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sheetData>
  <printOptions horizontalCentered="1"/>
  <pageMargins left="0" right="0" top="0.5" bottom="0.75" header="0.5" footer="0.5"/>
  <pageSetup scale="48" orientation="portrait" r:id="rId1"/>
  <headerFooter alignWithMargins="0">
    <oddFooter>&amp;L&amp;8Transportation Economics
Caltrans DOTP&amp;C&amp;8Cal-B/C &amp;A&amp;R&amp;8Page &amp;P
&amp;D</oddFooter>
  </headerFooter>
  <colBreaks count="1" manualBreakCount="1">
    <brk id="7" max="93"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BR210"/>
  <sheetViews>
    <sheetView workbookViewId="0"/>
  </sheetViews>
  <sheetFormatPr defaultColWidth="9.109375" defaultRowHeight="14.4" x14ac:dyDescent="0.3"/>
  <cols>
    <col min="1" max="1" width="3.44140625" style="466" customWidth="1"/>
    <col min="2" max="2" width="9.88671875" style="413" customWidth="1"/>
    <col min="3" max="3" width="9.5546875" style="413" customWidth="1"/>
    <col min="4" max="5" width="10.109375" style="413" customWidth="1"/>
    <col min="6" max="6" width="12" style="413" customWidth="1"/>
    <col min="7" max="20" width="10.109375" style="413" customWidth="1"/>
    <col min="21" max="21" width="12" style="413" customWidth="1"/>
    <col min="22" max="23" width="10.109375" style="413" customWidth="1"/>
    <col min="24" max="24" width="4" style="466" customWidth="1"/>
    <col min="25" max="25" width="6.5546875" style="466" customWidth="1"/>
    <col min="26" max="26" width="7.33203125" style="466" customWidth="1"/>
    <col min="27" max="28" width="10.44140625" style="466" customWidth="1"/>
    <col min="29" max="29" width="10.44140625" style="466" bestFit="1" customWidth="1"/>
    <col min="30" max="30" width="10.44140625" style="466" customWidth="1"/>
    <col min="31" max="31" width="11.6640625" style="466" customWidth="1"/>
    <col min="32" max="35" width="10.44140625" style="466" customWidth="1"/>
    <col min="36" max="36" width="11.6640625" style="466" customWidth="1"/>
    <col min="37" max="40" width="10.44140625" style="466" customWidth="1"/>
    <col min="41" max="41" width="11.6640625" style="466" customWidth="1"/>
    <col min="42" max="45" width="10.44140625" style="466" customWidth="1"/>
    <col min="46" max="46" width="11.6640625" style="466" customWidth="1"/>
    <col min="47" max="47" width="9.109375" style="466" customWidth="1"/>
    <col min="48" max="48" width="9.109375" style="466"/>
    <col min="49" max="49" width="10.33203125" style="466" bestFit="1" customWidth="1"/>
    <col min="50" max="70" width="9.109375" style="466"/>
    <col min="71" max="16384" width="9.109375" style="413"/>
  </cols>
  <sheetData>
    <row r="2" spans="2:49" ht="15" x14ac:dyDescent="0.25">
      <c r="B2" s="408" t="s">
        <v>294</v>
      </c>
      <c r="C2" s="408"/>
      <c r="D2" s="408"/>
      <c r="E2" s="408"/>
      <c r="F2" s="408"/>
      <c r="G2" s="408"/>
      <c r="H2" s="408"/>
      <c r="I2" s="408"/>
      <c r="J2" s="408"/>
      <c r="K2" s="408"/>
      <c r="L2" s="408"/>
      <c r="M2" s="408"/>
      <c r="N2" s="408"/>
      <c r="O2" s="408"/>
      <c r="P2" s="408"/>
      <c r="Q2" s="408"/>
      <c r="R2" s="408"/>
      <c r="S2" s="408"/>
      <c r="T2" s="408"/>
      <c r="U2" s="408"/>
      <c r="V2" s="408"/>
      <c r="W2" s="408"/>
      <c r="Y2" s="1928" t="s">
        <v>304</v>
      </c>
      <c r="Z2" s="1928"/>
      <c r="AA2" s="1928"/>
      <c r="AB2" s="1928"/>
      <c r="AC2" s="1928"/>
      <c r="AD2" s="1928"/>
      <c r="AE2" s="1928"/>
      <c r="AF2" s="1928"/>
      <c r="AG2" s="1928"/>
      <c r="AH2" s="1928"/>
      <c r="AI2" s="1928"/>
      <c r="AJ2" s="1928"/>
      <c r="AK2" s="1928"/>
      <c r="AL2" s="1928"/>
      <c r="AM2" s="1928"/>
      <c r="AN2" s="1928"/>
      <c r="AO2" s="1928"/>
      <c r="AP2" s="1928"/>
      <c r="AQ2" s="1928"/>
      <c r="AR2" s="1928"/>
      <c r="AS2" s="1928"/>
      <c r="AT2" s="1928"/>
    </row>
    <row r="3" spans="2:49" x14ac:dyDescent="0.3">
      <c r="B3" s="1926" t="s">
        <v>117</v>
      </c>
      <c r="C3" s="1926" t="s">
        <v>299</v>
      </c>
      <c r="D3" s="1928" t="s">
        <v>295</v>
      </c>
      <c r="E3" s="1928"/>
      <c r="F3" s="1928"/>
      <c r="G3" s="1928"/>
      <c r="H3" s="1928"/>
      <c r="I3" s="1928" t="s">
        <v>296</v>
      </c>
      <c r="J3" s="1928"/>
      <c r="K3" s="1928"/>
      <c r="L3" s="1928"/>
      <c r="M3" s="1928"/>
      <c r="N3" s="1928" t="s">
        <v>297</v>
      </c>
      <c r="O3" s="1928"/>
      <c r="P3" s="1928"/>
      <c r="Q3" s="1928"/>
      <c r="R3" s="1928"/>
      <c r="S3" s="1928" t="s">
        <v>298</v>
      </c>
      <c r="T3" s="1928"/>
      <c r="U3" s="1928"/>
      <c r="V3" s="1928"/>
      <c r="W3" s="1928"/>
      <c r="Y3" s="1926" t="s">
        <v>117</v>
      </c>
      <c r="Z3" s="1926" t="s">
        <v>299</v>
      </c>
      <c r="AA3" s="408" t="s">
        <v>295</v>
      </c>
      <c r="AB3" s="408"/>
      <c r="AC3" s="408"/>
      <c r="AD3" s="408"/>
      <c r="AE3" s="408"/>
      <c r="AF3" s="1928" t="s">
        <v>296</v>
      </c>
      <c r="AG3" s="1928"/>
      <c r="AH3" s="1928"/>
      <c r="AI3" s="1928"/>
      <c r="AJ3" s="1928"/>
      <c r="AK3" s="1928" t="s">
        <v>297</v>
      </c>
      <c r="AL3" s="1928"/>
      <c r="AM3" s="1928"/>
      <c r="AN3" s="1928"/>
      <c r="AO3" s="1928"/>
      <c r="AP3" s="1928" t="s">
        <v>298</v>
      </c>
      <c r="AQ3" s="1928"/>
      <c r="AR3" s="1928"/>
      <c r="AS3" s="1928"/>
      <c r="AT3" s="1928"/>
    </row>
    <row r="4" spans="2:49" ht="57" customHeight="1" thickBot="1" x14ac:dyDescent="0.35">
      <c r="B4" s="1927"/>
      <c r="C4" s="1927"/>
      <c r="D4" s="433" t="s">
        <v>305</v>
      </c>
      <c r="E4" s="433" t="s">
        <v>306</v>
      </c>
      <c r="F4" s="530" t="s">
        <v>307</v>
      </c>
      <c r="G4" s="433" t="s">
        <v>308</v>
      </c>
      <c r="H4" s="433" t="s">
        <v>300</v>
      </c>
      <c r="I4" s="433" t="s">
        <v>305</v>
      </c>
      <c r="J4" s="433" t="s">
        <v>306</v>
      </c>
      <c r="K4" s="433" t="s">
        <v>307</v>
      </c>
      <c r="L4" s="433" t="s">
        <v>308</v>
      </c>
      <c r="M4" s="433" t="s">
        <v>300</v>
      </c>
      <c r="N4" s="433" t="s">
        <v>305</v>
      </c>
      <c r="O4" s="433" t="s">
        <v>306</v>
      </c>
      <c r="P4" s="433" t="s">
        <v>307</v>
      </c>
      <c r="Q4" s="433" t="s">
        <v>308</v>
      </c>
      <c r="R4" s="433" t="s">
        <v>300</v>
      </c>
      <c r="S4" s="433" t="s">
        <v>305</v>
      </c>
      <c r="T4" s="433" t="s">
        <v>306</v>
      </c>
      <c r="U4" s="531" t="s">
        <v>307</v>
      </c>
      <c r="V4" s="433" t="s">
        <v>308</v>
      </c>
      <c r="W4" s="433" t="s">
        <v>300</v>
      </c>
      <c r="Y4" s="1927"/>
      <c r="Z4" s="1927"/>
      <c r="AA4" s="433" t="s">
        <v>305</v>
      </c>
      <c r="AB4" s="433" t="s">
        <v>306</v>
      </c>
      <c r="AC4" s="529" t="s">
        <v>307</v>
      </c>
      <c r="AD4" s="433" t="s">
        <v>308</v>
      </c>
      <c r="AE4" s="433" t="s">
        <v>300</v>
      </c>
      <c r="AF4" s="433" t="s">
        <v>305</v>
      </c>
      <c r="AG4" s="433" t="s">
        <v>306</v>
      </c>
      <c r="AH4" s="433" t="s">
        <v>307</v>
      </c>
      <c r="AI4" s="433" t="s">
        <v>308</v>
      </c>
      <c r="AJ4" s="433" t="s">
        <v>300</v>
      </c>
      <c r="AK4" s="433" t="s">
        <v>305</v>
      </c>
      <c r="AL4" s="433" t="s">
        <v>306</v>
      </c>
      <c r="AM4" s="433" t="s">
        <v>307</v>
      </c>
      <c r="AN4" s="433" t="s">
        <v>308</v>
      </c>
      <c r="AO4" s="433" t="s">
        <v>300</v>
      </c>
      <c r="AP4" s="433" t="s">
        <v>305</v>
      </c>
      <c r="AQ4" s="433" t="s">
        <v>306</v>
      </c>
      <c r="AR4" s="433" t="s">
        <v>307</v>
      </c>
      <c r="AS4" s="433" t="s">
        <v>308</v>
      </c>
      <c r="AT4" s="433" t="s">
        <v>300</v>
      </c>
    </row>
    <row r="5" spans="2:49" ht="15.75" thickTop="1" x14ac:dyDescent="0.25">
      <c r="B5" s="518" t="s">
        <v>301</v>
      </c>
      <c r="C5" s="519">
        <v>2.5</v>
      </c>
      <c r="D5" s="515">
        <v>2104.7921885010905</v>
      </c>
      <c r="E5" s="515">
        <v>2148.3759592736897</v>
      </c>
      <c r="F5" s="521">
        <v>2162.8434504339561</v>
      </c>
      <c r="G5" s="522">
        <v>2110.0418744277731</v>
      </c>
      <c r="H5" s="522">
        <v>2170.9188171363635</v>
      </c>
      <c r="I5" s="515">
        <v>2581.1124729468365</v>
      </c>
      <c r="J5" s="515">
        <v>2587.1200282601649</v>
      </c>
      <c r="K5" s="515">
        <v>2617.2144154333491</v>
      </c>
      <c r="L5" s="515">
        <v>2519.775316243049</v>
      </c>
      <c r="M5" s="515">
        <v>2611.4515317542223</v>
      </c>
      <c r="N5" s="515">
        <v>7036.7558553725066</v>
      </c>
      <c r="O5" s="515">
        <v>6972.2764770139875</v>
      </c>
      <c r="P5" s="515">
        <v>8164.5574472100016</v>
      </c>
      <c r="Q5" s="515">
        <v>6304.878913643317</v>
      </c>
      <c r="R5" s="515">
        <v>7244.5390682510979</v>
      </c>
      <c r="S5" s="515">
        <v>8856.6177127435822</v>
      </c>
      <c r="T5" s="520">
        <v>9264.6706170816688</v>
      </c>
      <c r="U5" s="527">
        <v>9456.4507563291863</v>
      </c>
      <c r="V5" s="522">
        <v>8515.082195604009</v>
      </c>
      <c r="W5" s="528">
        <v>9407.5833386377963</v>
      </c>
      <c r="Y5" s="518" t="s">
        <v>301</v>
      </c>
      <c r="Z5" s="519">
        <v>2.5</v>
      </c>
      <c r="AA5" s="515">
        <v>1662.1179750062975</v>
      </c>
      <c r="AB5" s="520">
        <v>1692.4219945785853</v>
      </c>
      <c r="AC5" s="527">
        <v>1705.813271905399</v>
      </c>
      <c r="AD5" s="522">
        <v>1660.0895547905207</v>
      </c>
      <c r="AE5" s="515">
        <v>1710.055508401043</v>
      </c>
      <c r="AF5" s="515">
        <v>2081.6664997528515</v>
      </c>
      <c r="AG5" s="515">
        <v>2081.2825885220982</v>
      </c>
      <c r="AH5" s="515">
        <v>2107.9621876524347</v>
      </c>
      <c r="AI5" s="515">
        <v>2024.1324509299</v>
      </c>
      <c r="AJ5" s="515">
        <v>2100.5610874464101</v>
      </c>
      <c r="AK5" s="515">
        <v>6712.4223460401236</v>
      </c>
      <c r="AL5" s="515">
        <v>6668.8400941011369</v>
      </c>
      <c r="AM5" s="515">
        <v>7797.9151454597932</v>
      </c>
      <c r="AN5" s="515">
        <v>6042.0448805334308</v>
      </c>
      <c r="AO5" s="515">
        <v>6930.3141310804322</v>
      </c>
      <c r="AP5" s="515">
        <v>8056.5007742514435</v>
      </c>
      <c r="AQ5" s="515">
        <v>8517.5056907836024</v>
      </c>
      <c r="AR5" s="516">
        <v>8686.0653203942438</v>
      </c>
      <c r="AS5" s="515">
        <v>7953.6507309954995</v>
      </c>
      <c r="AT5" s="517">
        <v>8705.3454486961728</v>
      </c>
      <c r="AV5" s="1600"/>
      <c r="AW5" s="1600"/>
    </row>
    <row r="6" spans="2:49" ht="15" x14ac:dyDescent="0.25">
      <c r="B6" s="450" t="s">
        <v>301</v>
      </c>
      <c r="C6" s="451">
        <v>5</v>
      </c>
      <c r="D6" s="460">
        <v>1160.4838368958863</v>
      </c>
      <c r="E6" s="460">
        <v>1213.7114086603315</v>
      </c>
      <c r="F6" s="500">
        <v>1202.4949312706717</v>
      </c>
      <c r="G6" s="480">
        <v>1192.0745208384924</v>
      </c>
      <c r="H6" s="480">
        <v>1218.0422666519628</v>
      </c>
      <c r="I6" s="460">
        <v>1423.1045337536525</v>
      </c>
      <c r="J6" s="460">
        <v>1461.5770951628781</v>
      </c>
      <c r="K6" s="460">
        <v>1455.1155184050328</v>
      </c>
      <c r="L6" s="460">
        <v>1423.5546645469724</v>
      </c>
      <c r="M6" s="460">
        <v>1465.2129401989755</v>
      </c>
      <c r="N6" s="460">
        <v>3759.5902951011067</v>
      </c>
      <c r="O6" s="460">
        <v>3529.0440683520587</v>
      </c>
      <c r="P6" s="460">
        <v>4245.5182170885037</v>
      </c>
      <c r="Q6" s="460">
        <v>3191.2425772750753</v>
      </c>
      <c r="R6" s="460">
        <v>3719.3279145891092</v>
      </c>
      <c r="S6" s="460">
        <v>4599.7627176788601</v>
      </c>
      <c r="T6" s="469">
        <v>4675.5841437514327</v>
      </c>
      <c r="U6" s="506">
        <v>4810.9320945091658</v>
      </c>
      <c r="V6" s="480">
        <v>4297.2933158161968</v>
      </c>
      <c r="W6" s="491">
        <v>4770.3397925320669</v>
      </c>
      <c r="Y6" s="450" t="s">
        <v>301</v>
      </c>
      <c r="Z6" s="451">
        <v>5</v>
      </c>
      <c r="AA6" s="460">
        <v>916.41400778028867</v>
      </c>
      <c r="AB6" s="469">
        <v>956.12310043822367</v>
      </c>
      <c r="AC6" s="506">
        <v>948.39587800444826</v>
      </c>
      <c r="AD6" s="480">
        <v>937.87260080446129</v>
      </c>
      <c r="AE6" s="460">
        <v>959.46466128154862</v>
      </c>
      <c r="AF6" s="460">
        <v>1147.7334151886828</v>
      </c>
      <c r="AG6" s="460">
        <v>1175.8074332526874</v>
      </c>
      <c r="AH6" s="460">
        <v>1171.9821170846647</v>
      </c>
      <c r="AI6" s="460">
        <v>1143.5397329307827</v>
      </c>
      <c r="AJ6" s="460">
        <v>1178.5664982024171</v>
      </c>
      <c r="AK6" s="460">
        <v>3586.305739103454</v>
      </c>
      <c r="AL6" s="460">
        <v>3375.4585972693903</v>
      </c>
      <c r="AM6" s="460">
        <v>4054.8665398481544</v>
      </c>
      <c r="AN6" s="460">
        <v>3058.2079593695416</v>
      </c>
      <c r="AO6" s="460">
        <v>3558.0056317953467</v>
      </c>
      <c r="AP6" s="460">
        <v>4184.2149111879098</v>
      </c>
      <c r="AQ6" s="460">
        <v>4298.5138056300257</v>
      </c>
      <c r="AR6" s="512">
        <v>4419.0015367995256</v>
      </c>
      <c r="AS6" s="460">
        <v>4013.9565699423169</v>
      </c>
      <c r="AT6" s="461">
        <v>4414.2533004301167</v>
      </c>
      <c r="AV6" s="1600"/>
      <c r="AW6" s="1600"/>
    </row>
    <row r="7" spans="2:49" ht="15" x14ac:dyDescent="0.25">
      <c r="B7" s="450" t="s">
        <v>301</v>
      </c>
      <c r="C7" s="451">
        <v>10</v>
      </c>
      <c r="D7" s="460">
        <v>685.30700513262479</v>
      </c>
      <c r="E7" s="460">
        <v>746.37819865608651</v>
      </c>
      <c r="F7" s="500">
        <v>722.51359371615524</v>
      </c>
      <c r="G7" s="480">
        <v>733.09083955850906</v>
      </c>
      <c r="H7" s="480">
        <v>741.40778973966371</v>
      </c>
      <c r="I7" s="460">
        <v>840.39387280572043</v>
      </c>
      <c r="J7" s="460">
        <v>898.80450303154396</v>
      </c>
      <c r="K7" s="460">
        <v>874.29952104997108</v>
      </c>
      <c r="L7" s="460">
        <v>875.44433334261544</v>
      </c>
      <c r="M7" s="460">
        <v>891.85762861649198</v>
      </c>
      <c r="N7" s="460">
        <v>2304.9434778019627</v>
      </c>
      <c r="O7" s="460">
        <v>2032.6736515419968</v>
      </c>
      <c r="P7" s="460">
        <v>2664.0429971454578</v>
      </c>
      <c r="Q7" s="460">
        <v>1838.1289783088453</v>
      </c>
      <c r="R7" s="460">
        <v>2221.5982197018875</v>
      </c>
      <c r="S7" s="460">
        <v>2755.4885301662271</v>
      </c>
      <c r="T7" s="469">
        <v>2906.4205927656249</v>
      </c>
      <c r="U7" s="506">
        <v>2940.595505298229</v>
      </c>
      <c r="V7" s="480">
        <v>2671.3139466469379</v>
      </c>
      <c r="W7" s="491">
        <v>2941.4379855324282</v>
      </c>
      <c r="Y7" s="450" t="s">
        <v>301</v>
      </c>
      <c r="Z7" s="451">
        <v>10</v>
      </c>
      <c r="AA7" s="460">
        <v>541.17508505190767</v>
      </c>
      <c r="AB7" s="469">
        <v>587.97291704314011</v>
      </c>
      <c r="AC7" s="506">
        <v>569.83933675171795</v>
      </c>
      <c r="AD7" s="480">
        <v>576.764120282558</v>
      </c>
      <c r="AE7" s="460">
        <v>584.014687609627</v>
      </c>
      <c r="AF7" s="460">
        <v>677.77742735090033</v>
      </c>
      <c r="AG7" s="460">
        <v>723.06895011084237</v>
      </c>
      <c r="AH7" s="460">
        <v>704.18010851083352</v>
      </c>
      <c r="AI7" s="460">
        <v>703.24336962849986</v>
      </c>
      <c r="AJ7" s="460">
        <v>717.37936064836401</v>
      </c>
      <c r="AK7" s="460">
        <v>2198.7055433996297</v>
      </c>
      <c r="AL7" s="460">
        <v>1944.2108456708345</v>
      </c>
      <c r="AM7" s="460">
        <v>2544.4099536216213</v>
      </c>
      <c r="AN7" s="460">
        <v>1761.5021533749637</v>
      </c>
      <c r="AO7" s="460">
        <v>2125.2385266382385</v>
      </c>
      <c r="AP7" s="460">
        <v>2506.5545557851833</v>
      </c>
      <c r="AQ7" s="460">
        <v>2672.0274213579887</v>
      </c>
      <c r="AR7" s="512">
        <v>2701.0350181100225</v>
      </c>
      <c r="AS7" s="460">
        <v>2495.1841493010716</v>
      </c>
      <c r="AT7" s="461">
        <v>2721.871585746112</v>
      </c>
      <c r="AV7" s="1600"/>
      <c r="AW7" s="1600"/>
    </row>
    <row r="8" spans="2:49" ht="15" x14ac:dyDescent="0.25">
      <c r="B8" s="450" t="s">
        <v>301</v>
      </c>
      <c r="C8" s="451">
        <v>15</v>
      </c>
      <c r="D8" s="460">
        <v>540.7574532822324</v>
      </c>
      <c r="E8" s="460">
        <v>590.6004697095068</v>
      </c>
      <c r="F8" s="500">
        <v>570.83703432089112</v>
      </c>
      <c r="G8" s="480">
        <v>580.09556777112653</v>
      </c>
      <c r="H8" s="480">
        <v>586.27122946880104</v>
      </c>
      <c r="I8" s="460">
        <v>663.13235821143553</v>
      </c>
      <c r="J8" s="460">
        <v>711.21364828616288</v>
      </c>
      <c r="K8" s="460">
        <v>690.75869304738558</v>
      </c>
      <c r="L8" s="460">
        <v>692.74004011322552</v>
      </c>
      <c r="M8" s="460">
        <v>705.2400523384299</v>
      </c>
      <c r="N8" s="460">
        <v>1883.2087577289972</v>
      </c>
      <c r="O8" s="460">
        <v>1555.1753336358277</v>
      </c>
      <c r="P8" s="460">
        <v>2195.0115278940129</v>
      </c>
      <c r="Q8" s="460">
        <v>1406.3424277608274</v>
      </c>
      <c r="R8" s="460">
        <v>1758.3871642637048</v>
      </c>
      <c r="S8" s="460">
        <v>2378.7865527985018</v>
      </c>
      <c r="T8" s="469">
        <v>2548.371111902437</v>
      </c>
      <c r="U8" s="506">
        <v>2562.3089228124968</v>
      </c>
      <c r="V8" s="480">
        <v>2342.2653067366186</v>
      </c>
      <c r="W8" s="491">
        <v>2571.0936974728129</v>
      </c>
      <c r="Y8" s="450" t="s">
        <v>301</v>
      </c>
      <c r="Z8" s="451">
        <v>15</v>
      </c>
      <c r="AA8" s="460">
        <v>427.02680489283898</v>
      </c>
      <c r="AB8" s="469">
        <v>465.25619532753166</v>
      </c>
      <c r="AC8" s="506">
        <v>450.21353211871201</v>
      </c>
      <c r="AD8" s="480">
        <v>456.39406710745232</v>
      </c>
      <c r="AE8" s="460">
        <v>461.8119929019901</v>
      </c>
      <c r="AF8" s="460">
        <v>534.81606456879331</v>
      </c>
      <c r="AG8" s="460">
        <v>572.1561298772549</v>
      </c>
      <c r="AH8" s="460">
        <v>556.3522794119292</v>
      </c>
      <c r="AI8" s="460">
        <v>556.47723279642184</v>
      </c>
      <c r="AJ8" s="460">
        <v>567.27065129776952</v>
      </c>
      <c r="AK8" s="460">
        <v>1796.4091418614962</v>
      </c>
      <c r="AL8" s="460">
        <v>1487.493453895476</v>
      </c>
      <c r="AM8" s="460">
        <v>2096.4410806702854</v>
      </c>
      <c r="AN8" s="460">
        <v>1347.7156631100322</v>
      </c>
      <c r="AO8" s="460">
        <v>1682.1188066764148</v>
      </c>
      <c r="AP8" s="460">
        <v>2163.8842643986331</v>
      </c>
      <c r="AQ8" s="460">
        <v>2342.8534423919718</v>
      </c>
      <c r="AR8" s="512">
        <v>2353.5661791166417</v>
      </c>
      <c r="AS8" s="460">
        <v>2187.8309264858053</v>
      </c>
      <c r="AT8" s="461">
        <v>2379.1719947396487</v>
      </c>
      <c r="AV8" s="1600"/>
      <c r="AW8" s="1600"/>
    </row>
    <row r="9" spans="2:49" ht="15" x14ac:dyDescent="0.25">
      <c r="B9" s="450" t="s">
        <v>301</v>
      </c>
      <c r="C9" s="451">
        <v>20</v>
      </c>
      <c r="D9" s="460">
        <v>455.22833102670671</v>
      </c>
      <c r="E9" s="460">
        <v>509.72151236815887</v>
      </c>
      <c r="F9" s="500">
        <v>476.06860592613856</v>
      </c>
      <c r="G9" s="480">
        <v>500.66054874084796</v>
      </c>
      <c r="H9" s="480">
        <v>499.88666982304113</v>
      </c>
      <c r="I9" s="460">
        <v>558.24775940876464</v>
      </c>
      <c r="J9" s="460">
        <v>613.81748747949462</v>
      </c>
      <c r="K9" s="460">
        <v>576.08127759554395</v>
      </c>
      <c r="L9" s="460">
        <v>597.8801216331367</v>
      </c>
      <c r="M9" s="460">
        <v>601.32594517508335</v>
      </c>
      <c r="N9" s="460">
        <v>1673.3217227581472</v>
      </c>
      <c r="O9" s="460">
        <v>1472.5569425455344</v>
      </c>
      <c r="P9" s="460">
        <v>1938.0812711277331</v>
      </c>
      <c r="Q9" s="460">
        <v>1331.6511653904083</v>
      </c>
      <c r="R9" s="460">
        <v>1612.2338905162549</v>
      </c>
      <c r="S9" s="460">
        <v>2154.2856306502517</v>
      </c>
      <c r="T9" s="469">
        <v>2275.1864904938916</v>
      </c>
      <c r="U9" s="506">
        <v>2299.9912658308322</v>
      </c>
      <c r="V9" s="480">
        <v>2091.1939880066107</v>
      </c>
      <c r="W9" s="491">
        <v>2301.8002194178744</v>
      </c>
      <c r="Y9" s="450" t="s">
        <v>301</v>
      </c>
      <c r="Z9" s="451">
        <v>20</v>
      </c>
      <c r="AA9" s="460">
        <v>359.48593683751886</v>
      </c>
      <c r="AB9" s="469">
        <v>401.542334765921</v>
      </c>
      <c r="AC9" s="506">
        <v>375.47060845451887</v>
      </c>
      <c r="AD9" s="480">
        <v>393.89803469458212</v>
      </c>
      <c r="AE9" s="460">
        <v>393.7659697633224</v>
      </c>
      <c r="AF9" s="460">
        <v>450.22666447253675</v>
      </c>
      <c r="AG9" s="460">
        <v>493.80300692140236</v>
      </c>
      <c r="AH9" s="460">
        <v>463.98856090086275</v>
      </c>
      <c r="AI9" s="460">
        <v>480.27637550157544</v>
      </c>
      <c r="AJ9" s="460">
        <v>483.68574562753656</v>
      </c>
      <c r="AK9" s="460">
        <v>1596.1960816617745</v>
      </c>
      <c r="AL9" s="460">
        <v>1408.470649675148</v>
      </c>
      <c r="AM9" s="460">
        <v>1851.0486814473131</v>
      </c>
      <c r="AN9" s="460">
        <v>1276.1380855535128</v>
      </c>
      <c r="AO9" s="460">
        <v>1542.3047910691885</v>
      </c>
      <c r="AP9" s="460">
        <v>1959.6650114320003</v>
      </c>
      <c r="AQ9" s="460">
        <v>2091.7002537193239</v>
      </c>
      <c r="AR9" s="512">
        <v>2112.61866488034</v>
      </c>
      <c r="AS9" s="460">
        <v>1953.3136861496089</v>
      </c>
      <c r="AT9" s="461">
        <v>2129.9801811608199</v>
      </c>
      <c r="AV9" s="1600"/>
      <c r="AW9" s="1600"/>
    </row>
    <row r="10" spans="2:49" ht="15" x14ac:dyDescent="0.25">
      <c r="B10" s="450" t="s">
        <v>301</v>
      </c>
      <c r="C10" s="451">
        <v>25</v>
      </c>
      <c r="D10" s="460">
        <v>408.74475204139759</v>
      </c>
      <c r="E10" s="460">
        <v>455.17298583633197</v>
      </c>
      <c r="F10" s="500">
        <v>426.11695874356923</v>
      </c>
      <c r="G10" s="480">
        <v>447.08537226486419</v>
      </c>
      <c r="H10" s="480">
        <v>446.88889268630396</v>
      </c>
      <c r="I10" s="460">
        <v>501.24481813899831</v>
      </c>
      <c r="J10" s="460">
        <v>548.12899152821774</v>
      </c>
      <c r="K10" s="460">
        <v>515.63576959789839</v>
      </c>
      <c r="L10" s="460">
        <v>533.90157747075625</v>
      </c>
      <c r="M10" s="460">
        <v>537.57361819223263</v>
      </c>
      <c r="N10" s="460">
        <v>1535.8310925047986</v>
      </c>
      <c r="O10" s="460">
        <v>1409.6622639518741</v>
      </c>
      <c r="P10" s="460">
        <v>1752.8192396235318</v>
      </c>
      <c r="Q10" s="460">
        <v>1274.7832299473312</v>
      </c>
      <c r="R10" s="460">
        <v>1506.1491174080554</v>
      </c>
      <c r="S10" s="460">
        <v>2022.5509087589433</v>
      </c>
      <c r="T10" s="469">
        <v>2092.9466419247069</v>
      </c>
      <c r="U10" s="506">
        <v>2132.2833916635595</v>
      </c>
      <c r="V10" s="480">
        <v>1923.7045821530596</v>
      </c>
      <c r="W10" s="491">
        <v>2125.8825562103807</v>
      </c>
      <c r="Y10" s="450" t="s">
        <v>301</v>
      </c>
      <c r="Z10" s="451">
        <v>25</v>
      </c>
      <c r="AA10" s="460">
        <v>322.77865875267952</v>
      </c>
      <c r="AB10" s="469">
        <v>358.57074700642659</v>
      </c>
      <c r="AC10" s="506">
        <v>336.07423757965665</v>
      </c>
      <c r="AD10" s="480">
        <v>351.74740633894385</v>
      </c>
      <c r="AE10" s="460">
        <v>352.01906517605812</v>
      </c>
      <c r="AF10" s="460">
        <v>404.25380801147082</v>
      </c>
      <c r="AG10" s="460">
        <v>440.95802045143239</v>
      </c>
      <c r="AH10" s="460">
        <v>415.30441621591825</v>
      </c>
      <c r="AI10" s="460">
        <v>428.88248868653591</v>
      </c>
      <c r="AJ10" s="460">
        <v>432.40558374592609</v>
      </c>
      <c r="AK10" s="460">
        <v>1465.0425788471084</v>
      </c>
      <c r="AL10" s="460">
        <v>1348.3131737497761</v>
      </c>
      <c r="AM10" s="460">
        <v>1674.1061330377936</v>
      </c>
      <c r="AN10" s="460">
        <v>1221.6408266978626</v>
      </c>
      <c r="AO10" s="460">
        <v>1440.8213432973068</v>
      </c>
      <c r="AP10" s="460">
        <v>1839.8313544608961</v>
      </c>
      <c r="AQ10" s="460">
        <v>1924.1574438957709</v>
      </c>
      <c r="AR10" s="512">
        <v>1958.5733906757021</v>
      </c>
      <c r="AS10" s="460">
        <v>1796.8674881330078</v>
      </c>
      <c r="AT10" s="461">
        <v>1967.1940570710206</v>
      </c>
      <c r="AV10" s="1600"/>
      <c r="AW10" s="1600"/>
    </row>
    <row r="11" spans="2:49" ht="15" x14ac:dyDescent="0.25">
      <c r="B11" s="450" t="s">
        <v>301</v>
      </c>
      <c r="C11" s="451">
        <v>30</v>
      </c>
      <c r="D11" s="460">
        <v>386.60806507964679</v>
      </c>
      <c r="E11" s="460">
        <v>406.37342559464548</v>
      </c>
      <c r="F11" s="500">
        <v>397.16527948917314</v>
      </c>
      <c r="G11" s="480">
        <v>399.15436577793679</v>
      </c>
      <c r="H11" s="480">
        <v>405.98483389416077</v>
      </c>
      <c r="I11" s="460">
        <v>474.09853778940027</v>
      </c>
      <c r="J11" s="460">
        <v>489.36352306978381</v>
      </c>
      <c r="K11" s="460">
        <v>480.60191068388178</v>
      </c>
      <c r="L11" s="460">
        <v>476.66320296636468</v>
      </c>
      <c r="M11" s="460">
        <v>488.36912185431294</v>
      </c>
      <c r="N11" s="460">
        <v>1511.9353275625349</v>
      </c>
      <c r="O11" s="460">
        <v>1398.5779090925491</v>
      </c>
      <c r="P11" s="460">
        <v>1707.1607088482656</v>
      </c>
      <c r="Q11" s="460">
        <v>1264.7704618029395</v>
      </c>
      <c r="R11" s="460">
        <v>1483.5280959171573</v>
      </c>
      <c r="S11" s="460">
        <v>2001.6381009404347</v>
      </c>
      <c r="T11" s="469">
        <v>2032.8473518955227</v>
      </c>
      <c r="U11" s="506">
        <v>2086.0995365443382</v>
      </c>
      <c r="V11" s="480">
        <v>1868.4760395251785</v>
      </c>
      <c r="W11" s="491">
        <v>2072.535620084634</v>
      </c>
      <c r="Y11" s="450" t="s">
        <v>301</v>
      </c>
      <c r="Z11" s="451">
        <v>30</v>
      </c>
      <c r="AA11" s="460">
        <v>305.29770005888281</v>
      </c>
      <c r="AB11" s="469">
        <v>320.12801135660385</v>
      </c>
      <c r="AC11" s="506">
        <v>313.2403340411513</v>
      </c>
      <c r="AD11" s="480">
        <v>314.03736646538749</v>
      </c>
      <c r="AE11" s="460">
        <v>319.79850929837107</v>
      </c>
      <c r="AF11" s="460">
        <v>382.36034037340977</v>
      </c>
      <c r="AG11" s="460">
        <v>393.68246115272655</v>
      </c>
      <c r="AH11" s="460">
        <v>387.08737391215669</v>
      </c>
      <c r="AI11" s="460">
        <v>382.90297197091047</v>
      </c>
      <c r="AJ11" s="460">
        <v>392.82719254162743</v>
      </c>
      <c r="AK11" s="460">
        <v>1442.2482017405459</v>
      </c>
      <c r="AL11" s="460">
        <v>1337.7112146411826</v>
      </c>
      <c r="AM11" s="460">
        <v>1630.4979704455204</v>
      </c>
      <c r="AN11" s="460">
        <v>1212.0454648621458</v>
      </c>
      <c r="AO11" s="460">
        <v>1419.1814869281297</v>
      </c>
      <c r="AP11" s="460">
        <v>1820.8078335360669</v>
      </c>
      <c r="AQ11" s="460">
        <v>1868.9049620760909</v>
      </c>
      <c r="AR11" s="512">
        <v>1916.1519798684085</v>
      </c>
      <c r="AS11" s="460">
        <v>1745.2803714906297</v>
      </c>
      <c r="AT11" s="461">
        <v>1917.8292530732917</v>
      </c>
      <c r="AV11" s="1600"/>
      <c r="AW11" s="1600"/>
    </row>
    <row r="12" spans="2:49" ht="15" customHeight="1" x14ac:dyDescent="0.25">
      <c r="B12" s="450" t="s">
        <v>301</v>
      </c>
      <c r="C12" s="451">
        <v>35</v>
      </c>
      <c r="D12" s="460">
        <v>386.03678933676275</v>
      </c>
      <c r="E12" s="460">
        <v>385.41153789367087</v>
      </c>
      <c r="F12" s="500">
        <v>388.66251667976923</v>
      </c>
      <c r="G12" s="480">
        <v>377.10990051757204</v>
      </c>
      <c r="H12" s="480">
        <v>389.73786751327549</v>
      </c>
      <c r="I12" s="460">
        <v>473.39798076837661</v>
      </c>
      <c r="J12" s="460">
        <v>464.12077201997886</v>
      </c>
      <c r="K12" s="460">
        <v>470.31288426760665</v>
      </c>
      <c r="L12" s="460">
        <v>450.33808586985754</v>
      </c>
      <c r="M12" s="460">
        <v>468.82524720234005</v>
      </c>
      <c r="N12" s="460">
        <v>1341.3431893881259</v>
      </c>
      <c r="O12" s="460">
        <v>1232.649678737879</v>
      </c>
      <c r="P12" s="460">
        <v>1464.1971171356336</v>
      </c>
      <c r="Q12" s="460">
        <v>1114.7159159702321</v>
      </c>
      <c r="R12" s="460">
        <v>1296.0171515986326</v>
      </c>
      <c r="S12" s="460">
        <v>1779.6830369517245</v>
      </c>
      <c r="T12" s="469">
        <v>1714.5829394679679</v>
      </c>
      <c r="U12" s="506">
        <v>1796.4658358088398</v>
      </c>
      <c r="V12" s="480">
        <v>1575.9425167477916</v>
      </c>
      <c r="W12" s="491">
        <v>1766.9671251725479</v>
      </c>
      <c r="Y12" s="450" t="s">
        <v>301</v>
      </c>
      <c r="Z12" s="451">
        <v>35</v>
      </c>
      <c r="AA12" s="460">
        <v>304.84657348870633</v>
      </c>
      <c r="AB12" s="469">
        <v>303.61490542657407</v>
      </c>
      <c r="AC12" s="506">
        <v>306.53428897569142</v>
      </c>
      <c r="AD12" s="480">
        <v>296.69373600800685</v>
      </c>
      <c r="AE12" s="460">
        <v>307.0006035751677</v>
      </c>
      <c r="AF12" s="460">
        <v>381.79534132857287</v>
      </c>
      <c r="AG12" s="460">
        <v>373.37520919979409</v>
      </c>
      <c r="AH12" s="460">
        <v>378.80036521108553</v>
      </c>
      <c r="AI12" s="460">
        <v>361.75603738270382</v>
      </c>
      <c r="AJ12" s="460">
        <v>377.10677725048583</v>
      </c>
      <c r="AK12" s="460">
        <v>1279.5188838736481</v>
      </c>
      <c r="AL12" s="460">
        <v>1179.0042501396292</v>
      </c>
      <c r="AM12" s="460">
        <v>1398.4450412008778</v>
      </c>
      <c r="AN12" s="460">
        <v>1068.246303471848</v>
      </c>
      <c r="AO12" s="460">
        <v>1239.8036500636761</v>
      </c>
      <c r="AP12" s="460">
        <v>1618.904443001202</v>
      </c>
      <c r="AQ12" s="460">
        <v>1576.3075178639301</v>
      </c>
      <c r="AR12" s="512">
        <v>1650.1137686619206</v>
      </c>
      <c r="AS12" s="460">
        <v>1472.0346865012075</v>
      </c>
      <c r="AT12" s="461">
        <v>1635.0702053247928</v>
      </c>
      <c r="AV12" s="1600"/>
      <c r="AW12" s="1600"/>
    </row>
    <row r="13" spans="2:49" ht="15" customHeight="1" x14ac:dyDescent="0.25">
      <c r="B13" s="450" t="s">
        <v>301</v>
      </c>
      <c r="C13" s="451">
        <v>40</v>
      </c>
      <c r="D13" s="460">
        <v>384.1581327104505</v>
      </c>
      <c r="E13" s="460">
        <v>373.01534284452839</v>
      </c>
      <c r="F13" s="500">
        <v>382.2860812431698</v>
      </c>
      <c r="G13" s="480">
        <v>363.51499613543064</v>
      </c>
      <c r="H13" s="480">
        <v>379.33403570011819</v>
      </c>
      <c r="I13" s="460">
        <v>471.09417895979436</v>
      </c>
      <c r="J13" s="460">
        <v>449.19301026234945</v>
      </c>
      <c r="K13" s="460">
        <v>462.59688487782211</v>
      </c>
      <c r="L13" s="460">
        <v>434.10328744999475</v>
      </c>
      <c r="M13" s="460">
        <v>456.31022254544331</v>
      </c>
      <c r="N13" s="460">
        <v>1322.6170364613583</v>
      </c>
      <c r="O13" s="460">
        <v>1178.3179429015149</v>
      </c>
      <c r="P13" s="460">
        <v>1412.4536253112312</v>
      </c>
      <c r="Q13" s="460">
        <v>1065.5859785524551</v>
      </c>
      <c r="R13" s="460">
        <v>1246.4786233082484</v>
      </c>
      <c r="S13" s="460">
        <v>1766.2442982709672</v>
      </c>
      <c r="T13" s="469">
        <v>1655.382648624766</v>
      </c>
      <c r="U13" s="506">
        <v>1753.8589986136062</v>
      </c>
      <c r="V13" s="480">
        <v>1521.5349184468271</v>
      </c>
      <c r="W13" s="491">
        <v>1715.8940942934528</v>
      </c>
      <c r="Y13" s="450" t="s">
        <v>301</v>
      </c>
      <c r="Z13" s="451">
        <v>40</v>
      </c>
      <c r="AA13" s="460">
        <v>303.36303085465568</v>
      </c>
      <c r="AB13" s="469">
        <v>293.84957871097089</v>
      </c>
      <c r="AC13" s="506">
        <v>301.50525731229624</v>
      </c>
      <c r="AD13" s="480">
        <v>285.99785407472086</v>
      </c>
      <c r="AE13" s="460">
        <v>298.80539620023887</v>
      </c>
      <c r="AF13" s="460">
        <v>379.93732580338332</v>
      </c>
      <c r="AG13" s="460">
        <v>361.36614495368957</v>
      </c>
      <c r="AH13" s="460">
        <v>372.58572920048493</v>
      </c>
      <c r="AI13" s="460">
        <v>348.71464353138782</v>
      </c>
      <c r="AJ13" s="460">
        <v>367.04012524371819</v>
      </c>
      <c r="AK13" s="460">
        <v>1261.6558444355196</v>
      </c>
      <c r="AL13" s="460">
        <v>1127.0370541280861</v>
      </c>
      <c r="AM13" s="460">
        <v>1349.0251723120423</v>
      </c>
      <c r="AN13" s="460">
        <v>1021.1644655933039</v>
      </c>
      <c r="AO13" s="460">
        <v>1192.4138079482057</v>
      </c>
      <c r="AP13" s="460">
        <v>1606.6797752896557</v>
      </c>
      <c r="AQ13" s="460">
        <v>1521.8815339305856</v>
      </c>
      <c r="AR13" s="512">
        <v>1610.9779680841505</v>
      </c>
      <c r="AS13" s="460">
        <v>1421.2143862319297</v>
      </c>
      <c r="AT13" s="461">
        <v>1587.8095687818875</v>
      </c>
      <c r="AV13" s="1600"/>
      <c r="AW13" s="1600"/>
    </row>
    <row r="14" spans="2:49" ht="15" customHeight="1" x14ac:dyDescent="0.25">
      <c r="B14" s="450" t="s">
        <v>301</v>
      </c>
      <c r="C14" s="451">
        <v>45</v>
      </c>
      <c r="D14" s="460">
        <v>380.3987938145836</v>
      </c>
      <c r="E14" s="460">
        <v>363.37391765157395</v>
      </c>
      <c r="F14" s="500">
        <v>376.39948979972877</v>
      </c>
      <c r="G14" s="480">
        <v>353.46669109096968</v>
      </c>
      <c r="H14" s="480">
        <v>370.99530213013219</v>
      </c>
      <c r="I14" s="460">
        <v>466.48409129072786</v>
      </c>
      <c r="J14" s="460">
        <v>437.58260096224859</v>
      </c>
      <c r="K14" s="460">
        <v>455.47363609139262</v>
      </c>
      <c r="L14" s="460">
        <v>422.10377628959202</v>
      </c>
      <c r="M14" s="460">
        <v>446.27935525444292</v>
      </c>
      <c r="N14" s="460">
        <v>1302.8471808080089</v>
      </c>
      <c r="O14" s="460">
        <v>1136.002786095843</v>
      </c>
      <c r="P14" s="460">
        <v>1369.2498928755529</v>
      </c>
      <c r="Q14" s="460">
        <v>1027.3223444040846</v>
      </c>
      <c r="R14" s="460">
        <v>1206.5388947978299</v>
      </c>
      <c r="S14" s="460">
        <v>1751.5108068467844</v>
      </c>
      <c r="T14" s="469">
        <v>1608.6594102569825</v>
      </c>
      <c r="U14" s="506">
        <v>1718.5637092360416</v>
      </c>
      <c r="V14" s="480">
        <v>1478.594855335999</v>
      </c>
      <c r="W14" s="491">
        <v>1674.7319619238738</v>
      </c>
      <c r="Y14" s="450" t="s">
        <v>301</v>
      </c>
      <c r="Z14" s="451">
        <v>45</v>
      </c>
      <c r="AA14" s="460">
        <v>300.39434597113251</v>
      </c>
      <c r="AB14" s="469">
        <v>286.25437174302635</v>
      </c>
      <c r="AC14" s="506">
        <v>296.86256076923775</v>
      </c>
      <c r="AD14" s="480">
        <v>278.09228288685892</v>
      </c>
      <c r="AE14" s="460">
        <v>292.23688835835969</v>
      </c>
      <c r="AF14" s="460">
        <v>376.2192913658281</v>
      </c>
      <c r="AG14" s="460">
        <v>352.02581962747513</v>
      </c>
      <c r="AH14" s="460">
        <v>366.84850759323342</v>
      </c>
      <c r="AI14" s="460">
        <v>339.07545079126663</v>
      </c>
      <c r="AJ14" s="460">
        <v>358.9716433099714</v>
      </c>
      <c r="AK14" s="460">
        <v>1242.7972079284409</v>
      </c>
      <c r="AL14" s="460">
        <v>1086.5634706114017</v>
      </c>
      <c r="AM14" s="460">
        <v>1307.7615714764952</v>
      </c>
      <c r="AN14" s="460">
        <v>984.4959430120872</v>
      </c>
      <c r="AO14" s="460">
        <v>1154.206426874051</v>
      </c>
      <c r="AP14" s="460">
        <v>1593.2773242732185</v>
      </c>
      <c r="AQ14" s="460">
        <v>1478.9263696146857</v>
      </c>
      <c r="AR14" s="512">
        <v>1578.5580679614166</v>
      </c>
      <c r="AS14" s="460">
        <v>1381.1055233337245</v>
      </c>
      <c r="AT14" s="461">
        <v>1549.720022425126</v>
      </c>
      <c r="AV14" s="1600"/>
      <c r="AW14" s="1600"/>
    </row>
    <row r="15" spans="2:49" ht="15" customHeight="1" x14ac:dyDescent="0.25">
      <c r="B15" s="450" t="s">
        <v>301</v>
      </c>
      <c r="C15" s="451">
        <v>50</v>
      </c>
      <c r="D15" s="460">
        <v>370.99683496013654</v>
      </c>
      <c r="E15" s="460">
        <v>356.30699695985714</v>
      </c>
      <c r="F15" s="500">
        <v>366.96203081634803</v>
      </c>
      <c r="G15" s="480">
        <v>346.31904507859485</v>
      </c>
      <c r="H15" s="480">
        <v>362.83437865497569</v>
      </c>
      <c r="I15" s="460">
        <v>454.95444318488416</v>
      </c>
      <c r="J15" s="460">
        <v>429.07246474482054</v>
      </c>
      <c r="K15" s="460">
        <v>444.05355217759433</v>
      </c>
      <c r="L15" s="460">
        <v>413.56818170756065</v>
      </c>
      <c r="M15" s="460">
        <v>436.46238009097794</v>
      </c>
      <c r="N15" s="460">
        <v>1276.8392364546189</v>
      </c>
      <c r="O15" s="460">
        <v>1185.677384217418</v>
      </c>
      <c r="P15" s="460">
        <v>1324.8824012343387</v>
      </c>
      <c r="Q15" s="460">
        <v>1072.249865388887</v>
      </c>
      <c r="R15" s="460">
        <v>1219.9882921030317</v>
      </c>
      <c r="S15" s="460">
        <v>1697.8346891341373</v>
      </c>
      <c r="T15" s="469">
        <v>1526.4063000507724</v>
      </c>
      <c r="U15" s="506">
        <v>1645.2027211589193</v>
      </c>
      <c r="V15" s="480">
        <v>1402.992769755876</v>
      </c>
      <c r="W15" s="491">
        <v>1596.523729035654</v>
      </c>
      <c r="Y15" s="450" t="s">
        <v>301</v>
      </c>
      <c r="Z15" s="451">
        <v>50</v>
      </c>
      <c r="AA15" s="460">
        <v>292.96978173261982</v>
      </c>
      <c r="AB15" s="469">
        <v>280.68727723101762</v>
      </c>
      <c r="AC15" s="506">
        <v>289.41933006121604</v>
      </c>
      <c r="AD15" s="480">
        <v>272.46882458951995</v>
      </c>
      <c r="AE15" s="460">
        <v>285.80844339202991</v>
      </c>
      <c r="AF15" s="460">
        <v>366.92063333855043</v>
      </c>
      <c r="AG15" s="460">
        <v>345.17959751879482</v>
      </c>
      <c r="AH15" s="460">
        <v>357.6505202490751</v>
      </c>
      <c r="AI15" s="460">
        <v>332.21881803115559</v>
      </c>
      <c r="AJ15" s="460">
        <v>351.07520878914755</v>
      </c>
      <c r="AK15" s="460">
        <v>1217.9880045909431</v>
      </c>
      <c r="AL15" s="460">
        <v>1134.076209485663</v>
      </c>
      <c r="AM15" s="460">
        <v>1265.3864718740897</v>
      </c>
      <c r="AN15" s="460">
        <v>1027.5505522883852</v>
      </c>
      <c r="AO15" s="460">
        <v>1167.0724694642884</v>
      </c>
      <c r="AP15" s="460">
        <v>1544.4503682120435</v>
      </c>
      <c r="AQ15" s="460">
        <v>1403.3066996639443</v>
      </c>
      <c r="AR15" s="512">
        <v>1511.1735543816196</v>
      </c>
      <c r="AS15" s="460">
        <v>1310.4881682188716</v>
      </c>
      <c r="AT15" s="461">
        <v>1477.3497165009887</v>
      </c>
      <c r="AV15" s="1600"/>
      <c r="AW15" s="1600"/>
    </row>
    <row r="16" spans="2:49" ht="15" customHeight="1" x14ac:dyDescent="0.25">
      <c r="B16" s="450" t="s">
        <v>301</v>
      </c>
      <c r="C16" s="451">
        <v>55</v>
      </c>
      <c r="D16" s="460">
        <v>361.61966001880211</v>
      </c>
      <c r="E16" s="460">
        <v>353.10294568008982</v>
      </c>
      <c r="F16" s="500">
        <v>357.98962433789046</v>
      </c>
      <c r="G16" s="480">
        <v>342.80336721513203</v>
      </c>
      <c r="H16" s="480">
        <v>357.12830938357632</v>
      </c>
      <c r="I16" s="460">
        <v>443.45518766012896</v>
      </c>
      <c r="J16" s="460">
        <v>425.21407804035317</v>
      </c>
      <c r="K16" s="460">
        <v>433.19621917374928</v>
      </c>
      <c r="L16" s="460">
        <v>409.36982033493706</v>
      </c>
      <c r="M16" s="460">
        <v>429.59840930521295</v>
      </c>
      <c r="N16" s="460">
        <v>1251.529800969935</v>
      </c>
      <c r="O16" s="460">
        <v>1226.3194860754918</v>
      </c>
      <c r="P16" s="460">
        <v>1286.7967991420862</v>
      </c>
      <c r="Q16" s="460">
        <v>1109.0106632024683</v>
      </c>
      <c r="R16" s="460">
        <v>1230.0816537843268</v>
      </c>
      <c r="S16" s="460">
        <v>1631.9329720518811</v>
      </c>
      <c r="T16" s="469">
        <v>1439.3374232672252</v>
      </c>
      <c r="U16" s="506">
        <v>1563.8720306505395</v>
      </c>
      <c r="V16" s="480">
        <v>1322.9649387644845</v>
      </c>
      <c r="W16" s="491">
        <v>1511.8574678634563</v>
      </c>
      <c r="Y16" s="450" t="s">
        <v>301</v>
      </c>
      <c r="Z16" s="451">
        <v>55</v>
      </c>
      <c r="AA16" s="460">
        <v>285.56478892149107</v>
      </c>
      <c r="AB16" s="469">
        <v>278.16322792101266</v>
      </c>
      <c r="AC16" s="506">
        <v>282.34288167156859</v>
      </c>
      <c r="AD16" s="480">
        <v>269.70284152071207</v>
      </c>
      <c r="AE16" s="460">
        <v>281.31371281442796</v>
      </c>
      <c r="AF16" s="460">
        <v>357.6464869195641</v>
      </c>
      <c r="AG16" s="460">
        <v>342.07560814834665</v>
      </c>
      <c r="AH16" s="460">
        <v>348.90578489384563</v>
      </c>
      <c r="AI16" s="460">
        <v>328.84627944000522</v>
      </c>
      <c r="AJ16" s="460">
        <v>345.55406862528565</v>
      </c>
      <c r="AK16" s="460">
        <v>1193.8451149121224</v>
      </c>
      <c r="AL16" s="460">
        <v>1172.9495501044992</v>
      </c>
      <c r="AM16" s="460">
        <v>1229.011163683856</v>
      </c>
      <c r="AN16" s="460">
        <v>1062.778887879929</v>
      </c>
      <c r="AO16" s="460">
        <v>1176.7280412585712</v>
      </c>
      <c r="AP16" s="460">
        <v>1484.5022873624275</v>
      </c>
      <c r="AQ16" s="460">
        <v>1323.2596387218466</v>
      </c>
      <c r="AR16" s="512">
        <v>1436.4686033897544</v>
      </c>
      <c r="AS16" s="460">
        <v>1235.7368737694449</v>
      </c>
      <c r="AT16" s="461">
        <v>1399.0034478767836</v>
      </c>
      <c r="AV16" s="1600"/>
      <c r="AW16" s="1600"/>
    </row>
    <row r="17" spans="2:49" ht="15" customHeight="1" x14ac:dyDescent="0.25">
      <c r="B17" s="450" t="s">
        <v>301</v>
      </c>
      <c r="C17" s="451">
        <v>60</v>
      </c>
      <c r="D17" s="460">
        <v>353.91872054239474</v>
      </c>
      <c r="E17" s="460">
        <v>350.43385061718845</v>
      </c>
      <c r="F17" s="500">
        <v>352.29672992161534</v>
      </c>
      <c r="G17" s="480">
        <v>342.6534753078073</v>
      </c>
      <c r="H17" s="480">
        <v>354.17291713067465</v>
      </c>
      <c r="I17" s="460">
        <v>434.01150431478214</v>
      </c>
      <c r="J17" s="460">
        <v>421.99989699128918</v>
      </c>
      <c r="K17" s="460">
        <v>426.30735935875629</v>
      </c>
      <c r="L17" s="460">
        <v>409.19082202558656</v>
      </c>
      <c r="M17" s="460">
        <v>426.04329542216351</v>
      </c>
      <c r="N17" s="460">
        <v>1230.5289547328514</v>
      </c>
      <c r="O17" s="460">
        <v>1202.1010807015116</v>
      </c>
      <c r="P17" s="460">
        <v>1259.4164802066184</v>
      </c>
      <c r="Q17" s="460">
        <v>1087.1107596433505</v>
      </c>
      <c r="R17" s="460">
        <v>1205.5302079429011</v>
      </c>
      <c r="S17" s="460">
        <v>1593.9385632755379</v>
      </c>
      <c r="T17" s="469">
        <v>1397.554117416438</v>
      </c>
      <c r="U17" s="506">
        <v>1522.2694419714612</v>
      </c>
      <c r="V17" s="480">
        <v>1284.5621485585848</v>
      </c>
      <c r="W17" s="491">
        <v>1469.9112169668822</v>
      </c>
      <c r="Y17" s="450" t="s">
        <v>301</v>
      </c>
      <c r="Z17" s="451">
        <v>60</v>
      </c>
      <c r="AA17" s="460">
        <v>279.4834902554752</v>
      </c>
      <c r="AB17" s="469">
        <v>276.06060004036817</v>
      </c>
      <c r="AC17" s="506">
        <v>277.85295206113386</v>
      </c>
      <c r="AD17" s="480">
        <v>269.58491306028048</v>
      </c>
      <c r="AE17" s="460">
        <v>278.98571935761743</v>
      </c>
      <c r="AF17" s="460">
        <v>350.03015889808961</v>
      </c>
      <c r="AG17" s="460">
        <v>339.48986841431764</v>
      </c>
      <c r="AH17" s="460">
        <v>343.35734533138083</v>
      </c>
      <c r="AI17" s="460">
        <v>328.70249031552157</v>
      </c>
      <c r="AJ17" s="460">
        <v>342.6944582540537</v>
      </c>
      <c r="AK17" s="460">
        <v>1173.8122258273145</v>
      </c>
      <c r="AL17" s="460">
        <v>1149.7851398425639</v>
      </c>
      <c r="AM17" s="460">
        <v>1202.8604010620111</v>
      </c>
      <c r="AN17" s="460">
        <v>1041.7919344434065</v>
      </c>
      <c r="AO17" s="460">
        <v>1153.241490844486</v>
      </c>
      <c r="AP17" s="460">
        <v>1449.940336779036</v>
      </c>
      <c r="AQ17" s="460">
        <v>1284.8460177661632</v>
      </c>
      <c r="AR17" s="512">
        <v>1398.255238558123</v>
      </c>
      <c r="AS17" s="460">
        <v>1199.8661242714413</v>
      </c>
      <c r="AT17" s="461">
        <v>1360.1883142565871</v>
      </c>
      <c r="AV17" s="1600"/>
      <c r="AW17" s="1600"/>
    </row>
    <row r="18" spans="2:49" ht="15" customHeight="1" x14ac:dyDescent="0.25">
      <c r="B18" s="450" t="s">
        <v>301</v>
      </c>
      <c r="C18" s="451">
        <v>65</v>
      </c>
      <c r="D18" s="460">
        <v>355.01555117603834</v>
      </c>
      <c r="E18" s="460">
        <v>352.48842835659383</v>
      </c>
      <c r="F18" s="500">
        <v>356.90153308698683</v>
      </c>
      <c r="G18" s="480">
        <v>346.23547729776334</v>
      </c>
      <c r="H18" s="480">
        <v>357.65241531714747</v>
      </c>
      <c r="I18" s="460">
        <v>435.35655074961517</v>
      </c>
      <c r="J18" s="460">
        <v>424.47406320800206</v>
      </c>
      <c r="K18" s="460">
        <v>431.87954130388283</v>
      </c>
      <c r="L18" s="460">
        <v>413.46838651679946</v>
      </c>
      <c r="M18" s="460">
        <v>430.22886919722822</v>
      </c>
      <c r="N18" s="460">
        <v>1293.3654573331755</v>
      </c>
      <c r="O18" s="460">
        <v>1299.4911161168682</v>
      </c>
      <c r="P18" s="460">
        <v>1345.1440792467938</v>
      </c>
      <c r="Q18" s="460">
        <v>1175.1897262883399</v>
      </c>
      <c r="R18" s="460">
        <v>1294.8700935640854</v>
      </c>
      <c r="S18" s="460">
        <v>1642.2332057191782</v>
      </c>
      <c r="T18" s="469">
        <v>1471.418734210393</v>
      </c>
      <c r="U18" s="506">
        <v>1588.1945571557933</v>
      </c>
      <c r="V18" s="480">
        <v>1352.459573245105</v>
      </c>
      <c r="W18" s="491">
        <v>1540.1678309171145</v>
      </c>
      <c r="Y18" s="450" t="s">
        <v>301</v>
      </c>
      <c r="Z18" s="451">
        <v>65</v>
      </c>
      <c r="AA18" s="460">
        <v>280.34963842994881</v>
      </c>
      <c r="AB18" s="469">
        <v>277.6791307918092</v>
      </c>
      <c r="AC18" s="506">
        <v>281.48471484656642</v>
      </c>
      <c r="AD18" s="480">
        <v>272.4030770791237</v>
      </c>
      <c r="AE18" s="460">
        <v>281.72655655211838</v>
      </c>
      <c r="AF18" s="460">
        <v>351.11493847796089</v>
      </c>
      <c r="AG18" s="460">
        <v>341.48028208345733</v>
      </c>
      <c r="AH18" s="460">
        <v>347.84530351080326</v>
      </c>
      <c r="AI18" s="460">
        <v>332.13865267563193</v>
      </c>
      <c r="AJ18" s="460">
        <v>346.0611887078374</v>
      </c>
      <c r="AK18" s="460">
        <v>1233.7525097977173</v>
      </c>
      <c r="AL18" s="460">
        <v>1242.9367202603862</v>
      </c>
      <c r="AM18" s="460">
        <v>1284.7382673470634</v>
      </c>
      <c r="AN18" s="460">
        <v>1126.1991176406032</v>
      </c>
      <c r="AO18" s="460">
        <v>1238.7063445717602</v>
      </c>
      <c r="AP18" s="460">
        <v>1493.871986180538</v>
      </c>
      <c r="AQ18" s="460">
        <v>1352.7536984483115</v>
      </c>
      <c r="AR18" s="512">
        <v>1458.8096549560892</v>
      </c>
      <c r="AS18" s="460">
        <v>1263.2868158261806</v>
      </c>
      <c r="AT18" s="461">
        <v>1425.2005573031652</v>
      </c>
      <c r="AV18" s="1600"/>
      <c r="AW18" s="1600"/>
    </row>
    <row r="19" spans="2:49" ht="15" customHeight="1" x14ac:dyDescent="0.25">
      <c r="B19" s="450" t="s">
        <v>301</v>
      </c>
      <c r="C19" s="451">
        <v>70</v>
      </c>
      <c r="D19" s="460">
        <v>362.64196786019261</v>
      </c>
      <c r="E19" s="460">
        <v>365.18974285049109</v>
      </c>
      <c r="F19" s="500">
        <v>369.37104276488361</v>
      </c>
      <c r="G19" s="480">
        <v>358.7124366518716</v>
      </c>
      <c r="H19" s="480">
        <v>369.98246095329279</v>
      </c>
      <c r="I19" s="460">
        <v>444.70884658903412</v>
      </c>
      <c r="J19" s="460">
        <v>439.76925629120046</v>
      </c>
      <c r="K19" s="460">
        <v>446.968650261736</v>
      </c>
      <c r="L19" s="460">
        <v>428.36815442343209</v>
      </c>
      <c r="M19" s="460">
        <v>445.06098374197433</v>
      </c>
      <c r="N19" s="460">
        <v>1352.8869587019719</v>
      </c>
      <c r="O19" s="460">
        <v>1392.8637270383024</v>
      </c>
      <c r="P19" s="460">
        <v>1427.0140718368989</v>
      </c>
      <c r="Q19" s="460">
        <v>1259.6339807277404</v>
      </c>
      <c r="R19" s="460">
        <v>1380.360169023144</v>
      </c>
      <c r="S19" s="460">
        <v>1683.7593511890675</v>
      </c>
      <c r="T19" s="469">
        <v>1537.1452409223216</v>
      </c>
      <c r="U19" s="506">
        <v>1646.2673119023555</v>
      </c>
      <c r="V19" s="480">
        <v>1412.8766006429578</v>
      </c>
      <c r="W19" s="491">
        <v>1602.383437458873</v>
      </c>
      <c r="Y19" s="450" t="s">
        <v>301</v>
      </c>
      <c r="Z19" s="451">
        <v>70</v>
      </c>
      <c r="AA19" s="460">
        <v>286.37208773628527</v>
      </c>
      <c r="AB19" s="469">
        <v>287.68482086516059</v>
      </c>
      <c r="AC19" s="506">
        <v>291.31929399673169</v>
      </c>
      <c r="AD19" s="480">
        <v>282.21940828578198</v>
      </c>
      <c r="AE19" s="460">
        <v>291.43906274649538</v>
      </c>
      <c r="AF19" s="460">
        <v>358.65756250103175</v>
      </c>
      <c r="AG19" s="460">
        <v>353.78493695235125</v>
      </c>
      <c r="AH19" s="460">
        <v>359.99840451046123</v>
      </c>
      <c r="AI19" s="460">
        <v>344.10761813724531</v>
      </c>
      <c r="AJ19" s="460">
        <v>357.99162749959737</v>
      </c>
      <c r="AK19" s="460">
        <v>1290.5305853867299</v>
      </c>
      <c r="AL19" s="460">
        <v>1332.245716175368</v>
      </c>
      <c r="AM19" s="460">
        <v>1362.9317590708827</v>
      </c>
      <c r="AN19" s="460">
        <v>1207.1231103475798</v>
      </c>
      <c r="AO19" s="460">
        <v>1320.4883699621034</v>
      </c>
      <c r="AP19" s="460">
        <v>1531.6466123392865</v>
      </c>
      <c r="AQ19" s="460">
        <v>1413.1795806077916</v>
      </c>
      <c r="AR19" s="512">
        <v>1512.1514164754697</v>
      </c>
      <c r="AS19" s="460">
        <v>1319.7203208809628</v>
      </c>
      <c r="AT19" s="461">
        <v>1482.7720214879932</v>
      </c>
      <c r="AV19" s="1600"/>
      <c r="AW19" s="1600"/>
    </row>
    <row r="20" spans="2:49" ht="15" customHeight="1" thickBot="1" x14ac:dyDescent="0.3">
      <c r="B20" s="454" t="s">
        <v>301</v>
      </c>
      <c r="C20" s="455">
        <v>75</v>
      </c>
      <c r="D20" s="462">
        <v>374.59510083515528</v>
      </c>
      <c r="E20" s="462">
        <v>385.69623154265014</v>
      </c>
      <c r="F20" s="501">
        <v>387.01286285674581</v>
      </c>
      <c r="G20" s="481">
        <v>378.85565820825002</v>
      </c>
      <c r="H20" s="481">
        <v>389.08878660254624</v>
      </c>
      <c r="I20" s="462">
        <v>459.36700656369641</v>
      </c>
      <c r="J20" s="462">
        <v>464.46360616779793</v>
      </c>
      <c r="K20" s="462">
        <v>468.31667054939913</v>
      </c>
      <c r="L20" s="462">
        <v>452.42283934817647</v>
      </c>
      <c r="M20" s="462">
        <v>468.04445184270878</v>
      </c>
      <c r="N20" s="462">
        <v>1350.8397950458316</v>
      </c>
      <c r="O20" s="462">
        <v>1397.3210310666825</v>
      </c>
      <c r="P20" s="462">
        <v>1428.7657334802916</v>
      </c>
      <c r="Q20" s="462">
        <v>1263.6668998978264</v>
      </c>
      <c r="R20" s="462">
        <v>1383.3390228609596</v>
      </c>
      <c r="S20" s="462">
        <v>1642.8440850526804</v>
      </c>
      <c r="T20" s="470">
        <v>1495.1651698424082</v>
      </c>
      <c r="U20" s="507">
        <v>1603.3588550742197</v>
      </c>
      <c r="V20" s="480">
        <v>1374.2911102843188</v>
      </c>
      <c r="W20" s="492">
        <v>1559.6712112833222</v>
      </c>
      <c r="Y20" s="454" t="s">
        <v>301</v>
      </c>
      <c r="Z20" s="455">
        <v>75</v>
      </c>
      <c r="AA20" s="462">
        <v>295.81127003839867</v>
      </c>
      <c r="AB20" s="470">
        <v>303.83917799449659</v>
      </c>
      <c r="AC20" s="507">
        <v>305.23322329532596</v>
      </c>
      <c r="AD20" s="481">
        <v>298.06722254522339</v>
      </c>
      <c r="AE20" s="462">
        <v>306.4893157379492</v>
      </c>
      <c r="AF20" s="462">
        <v>370.47936449032494</v>
      </c>
      <c r="AG20" s="462">
        <v>373.65101192050764</v>
      </c>
      <c r="AH20" s="462">
        <v>377.19257067516952</v>
      </c>
      <c r="AI20" s="462">
        <v>363.43071731962215</v>
      </c>
      <c r="AJ20" s="462">
        <v>376.4787325290896</v>
      </c>
      <c r="AK20" s="462">
        <v>1288.5777782474875</v>
      </c>
      <c r="AL20" s="462">
        <v>1336.5090364716953</v>
      </c>
      <c r="AM20" s="462">
        <v>1364.6047595913701</v>
      </c>
      <c r="AN20" s="462">
        <v>1210.9879075877766</v>
      </c>
      <c r="AO20" s="462">
        <v>1323.3380188703563</v>
      </c>
      <c r="AP20" s="462">
        <v>1494.4276779788022</v>
      </c>
      <c r="AQ20" s="462">
        <v>1374.5850628854453</v>
      </c>
      <c r="AR20" s="513">
        <v>1472.7385682081581</v>
      </c>
      <c r="AS20" s="462">
        <v>1283.6789173399325</v>
      </c>
      <c r="AT20" s="463">
        <v>1443.2480895325996</v>
      </c>
      <c r="AV20" s="1600"/>
      <c r="AW20" s="1600"/>
    </row>
    <row r="21" spans="2:49" ht="15" customHeight="1" x14ac:dyDescent="0.25">
      <c r="B21" s="440" t="s">
        <v>61</v>
      </c>
      <c r="C21" s="437">
        <v>2.5</v>
      </c>
      <c r="D21" s="438">
        <v>1.3971540477633697</v>
      </c>
      <c r="E21" s="438">
        <v>1.3948331855794449</v>
      </c>
      <c r="F21" s="499">
        <v>1.4300075283398805</v>
      </c>
      <c r="G21" s="482">
        <v>1.3525716865187574</v>
      </c>
      <c r="H21" s="482">
        <v>1.4587665237384837</v>
      </c>
      <c r="I21" s="438">
        <v>2.5038257729172284</v>
      </c>
      <c r="J21" s="438">
        <v>2.4490709148428595</v>
      </c>
      <c r="K21" s="438">
        <v>2.53551952622729</v>
      </c>
      <c r="L21" s="438">
        <v>2.349608347100991</v>
      </c>
      <c r="M21" s="438">
        <v>2.5626824795998115</v>
      </c>
      <c r="N21" s="438">
        <v>53.991305483851853</v>
      </c>
      <c r="O21" s="438">
        <v>50.899416463504856</v>
      </c>
      <c r="P21" s="438">
        <v>54.219946982577113</v>
      </c>
      <c r="Q21" s="438">
        <v>46.273104325213446</v>
      </c>
      <c r="R21" s="438">
        <v>51.768835179222236</v>
      </c>
      <c r="S21" s="438">
        <v>35.014961020940184</v>
      </c>
      <c r="T21" s="471">
        <v>34.737233345959382</v>
      </c>
      <c r="U21" s="505">
        <v>35.328721447455123</v>
      </c>
      <c r="V21" s="526">
        <v>32.78014014982287</v>
      </c>
      <c r="W21" s="493">
        <v>35.667822298813341</v>
      </c>
      <c r="Y21" s="440" t="s">
        <v>61</v>
      </c>
      <c r="Z21" s="437">
        <v>2.5</v>
      </c>
      <c r="AA21" s="443">
        <v>9.342231111972045E-2</v>
      </c>
      <c r="AB21" s="477">
        <v>8.4153359609471429E-2</v>
      </c>
      <c r="AC21" s="508">
        <v>9.1298806504694519E-2</v>
      </c>
      <c r="AD21" s="488">
        <v>7.983634323605196E-2</v>
      </c>
      <c r="AE21" s="443">
        <v>8.9719882592671385E-2</v>
      </c>
      <c r="AF21" s="443">
        <v>0.15743897846365432</v>
      </c>
      <c r="AG21" s="443">
        <v>0.13852544534392619</v>
      </c>
      <c r="AH21" s="443">
        <v>0.1522618532063281</v>
      </c>
      <c r="AI21" s="443">
        <v>0.13119130405888574</v>
      </c>
      <c r="AJ21" s="443">
        <v>0.14857691122781458</v>
      </c>
      <c r="AK21" s="443">
        <v>6.5088117956081115</v>
      </c>
      <c r="AL21" s="443">
        <v>6.3767596747637647</v>
      </c>
      <c r="AM21" s="443">
        <v>6.7215695839181731</v>
      </c>
      <c r="AN21" s="443">
        <v>5.8278160558499286</v>
      </c>
      <c r="AO21" s="443">
        <v>6.4586853520757153</v>
      </c>
      <c r="AP21" s="443">
        <v>2.6395904258224894</v>
      </c>
      <c r="AQ21" s="443">
        <v>2.740447556259324</v>
      </c>
      <c r="AR21" s="514">
        <v>2.7348279228789698</v>
      </c>
      <c r="AS21" s="523">
        <v>2.6799584113290771</v>
      </c>
      <c r="AT21" s="444">
        <v>2.8381988439698009</v>
      </c>
    </row>
    <row r="22" spans="2:49" ht="15" customHeight="1" x14ac:dyDescent="0.25">
      <c r="B22" s="441" t="s">
        <v>61</v>
      </c>
      <c r="C22" s="427">
        <v>5</v>
      </c>
      <c r="D22" s="428">
        <v>1.0418924909940628</v>
      </c>
      <c r="E22" s="428">
        <v>1.0502875233042908</v>
      </c>
      <c r="F22" s="500">
        <v>1.0374882006187292</v>
      </c>
      <c r="G22" s="483">
        <v>1.0184711233604795</v>
      </c>
      <c r="H22" s="483">
        <v>1.0847557217743944</v>
      </c>
      <c r="I22" s="428">
        <v>1.8671650958861865</v>
      </c>
      <c r="J22" s="428">
        <v>1.8441120071848016</v>
      </c>
      <c r="K22" s="428">
        <v>1.8395508686258997</v>
      </c>
      <c r="L22" s="428">
        <v>1.7692284088011769</v>
      </c>
      <c r="M22" s="428">
        <v>1.9056404418389601</v>
      </c>
      <c r="N22" s="428">
        <v>26.494861853507956</v>
      </c>
      <c r="O22" s="428">
        <v>24.693578594896799</v>
      </c>
      <c r="P22" s="428">
        <v>26.977638216552069</v>
      </c>
      <c r="Q22" s="428">
        <v>22.449147113732284</v>
      </c>
      <c r="R22" s="428">
        <v>25.347706426799018</v>
      </c>
      <c r="S22" s="428">
        <v>18.49953229620164</v>
      </c>
      <c r="T22" s="472">
        <v>18.295658879482701</v>
      </c>
      <c r="U22" s="506">
        <v>18.81863223418312</v>
      </c>
      <c r="V22" s="526">
        <v>17.26497432390147</v>
      </c>
      <c r="W22" s="494">
        <v>18.856785216056942</v>
      </c>
      <c r="Y22" s="441" t="s">
        <v>61</v>
      </c>
      <c r="Z22" s="427">
        <v>5</v>
      </c>
      <c r="AA22" s="429">
        <v>7.4437633050542629E-2</v>
      </c>
      <c r="AB22" s="478">
        <v>6.8187064227653485E-2</v>
      </c>
      <c r="AC22" s="509">
        <v>7.0512872754216735E-2</v>
      </c>
      <c r="AD22" s="489">
        <v>6.4689848227444266E-2</v>
      </c>
      <c r="AE22" s="429">
        <v>7.1510523948232665E-2</v>
      </c>
      <c r="AF22" s="429">
        <v>0.12544524713921307</v>
      </c>
      <c r="AG22" s="429">
        <v>0.11224321266155955</v>
      </c>
      <c r="AH22" s="429">
        <v>0.11759650636733111</v>
      </c>
      <c r="AI22" s="429">
        <v>0.10630178192451863</v>
      </c>
      <c r="AJ22" s="429">
        <v>0.11842205385786968</v>
      </c>
      <c r="AK22" s="429">
        <v>3.2200977963579804</v>
      </c>
      <c r="AL22" s="429">
        <v>3.1100617887884798</v>
      </c>
      <c r="AM22" s="429">
        <v>3.3715355047231226</v>
      </c>
      <c r="AN22" s="429">
        <v>2.8423328506199783</v>
      </c>
      <c r="AO22" s="429">
        <v>3.1829080291039218</v>
      </c>
      <c r="AP22" s="429">
        <v>1.4123693975492666</v>
      </c>
      <c r="AQ22" s="429">
        <v>1.4615810114047596</v>
      </c>
      <c r="AR22" s="448">
        <v>1.4758985029899256</v>
      </c>
      <c r="AS22" s="524">
        <v>1.4293281159759328</v>
      </c>
      <c r="AT22" s="445">
        <v>1.5196910536012356</v>
      </c>
    </row>
    <row r="23" spans="2:49" ht="15" customHeight="1" x14ac:dyDescent="0.25">
      <c r="B23" s="441" t="s">
        <v>61</v>
      </c>
      <c r="C23" s="427">
        <v>10</v>
      </c>
      <c r="D23" s="428">
        <v>0.83180247546835373</v>
      </c>
      <c r="E23" s="428">
        <v>0.87801513017651456</v>
      </c>
      <c r="F23" s="500">
        <v>0.80521803913845447</v>
      </c>
      <c r="G23" s="483">
        <v>0.85142195904211748</v>
      </c>
      <c r="H23" s="483">
        <v>0.88322626248293923</v>
      </c>
      <c r="I23" s="428">
        <v>1.4906648836526515</v>
      </c>
      <c r="J23" s="428">
        <v>1.5416333224205427</v>
      </c>
      <c r="K23" s="428">
        <v>1.4277170019350753</v>
      </c>
      <c r="L23" s="428">
        <v>1.4790403804912813</v>
      </c>
      <c r="M23" s="428">
        <v>1.5516043393885985</v>
      </c>
      <c r="N23" s="428">
        <v>16.131129705124323</v>
      </c>
      <c r="O23" s="428">
        <v>14.748424884442715</v>
      </c>
      <c r="P23" s="428">
        <v>16.217704032040942</v>
      </c>
      <c r="Q23" s="428">
        <v>13.407918913823513</v>
      </c>
      <c r="R23" s="428">
        <v>15.196881971318049</v>
      </c>
      <c r="S23" s="428">
        <v>11.141131147288183</v>
      </c>
      <c r="T23" s="472">
        <v>11.093732055671971</v>
      </c>
      <c r="U23" s="506">
        <v>11.150633359165857</v>
      </c>
      <c r="V23" s="526">
        <v>10.46877138365763</v>
      </c>
      <c r="W23" s="494">
        <v>11.346212393856764</v>
      </c>
      <c r="Y23" s="441" t="s">
        <v>61</v>
      </c>
      <c r="Z23" s="427">
        <v>10</v>
      </c>
      <c r="AA23" s="429">
        <v>6.1432997269515802E-2</v>
      </c>
      <c r="AB23" s="478">
        <v>6.0203916614230024E-2</v>
      </c>
      <c r="AC23" s="509">
        <v>5.6587396907597405E-2</v>
      </c>
      <c r="AD23" s="489">
        <v>5.711657607022514E-2</v>
      </c>
      <c r="AE23" s="429">
        <v>6.1019071030892193E-2</v>
      </c>
      <c r="AF23" s="429">
        <v>0.10352931990387668</v>
      </c>
      <c r="AG23" s="429">
        <v>9.9102096447925683E-2</v>
      </c>
      <c r="AH23" s="429">
        <v>9.4372558099429099E-2</v>
      </c>
      <c r="AI23" s="429">
        <v>9.3856980346360058E-2</v>
      </c>
      <c r="AJ23" s="429">
        <v>0.10104811595575054</v>
      </c>
      <c r="AK23" s="429">
        <v>1.9653683349455255</v>
      </c>
      <c r="AL23" s="429">
        <v>1.8617429573405577</v>
      </c>
      <c r="AM23" s="429">
        <v>2.0318397222743307</v>
      </c>
      <c r="AN23" s="429">
        <v>1.7014742872003314</v>
      </c>
      <c r="AO23" s="429">
        <v>1.9128029137429825</v>
      </c>
      <c r="AP23" s="429">
        <v>0.8503654630116716</v>
      </c>
      <c r="AQ23" s="429">
        <v>0.88605608083972098</v>
      </c>
      <c r="AR23" s="448">
        <v>0.87431223560945093</v>
      </c>
      <c r="AS23" s="524">
        <v>0.86650415456924246</v>
      </c>
      <c r="AT23" s="445">
        <v>0.9141999933269509</v>
      </c>
    </row>
    <row r="24" spans="2:49" ht="15" customHeight="1" x14ac:dyDescent="0.25">
      <c r="B24" s="441" t="s">
        <v>61</v>
      </c>
      <c r="C24" s="427">
        <v>15</v>
      </c>
      <c r="D24" s="428">
        <v>0.7082336387190018</v>
      </c>
      <c r="E24" s="428">
        <v>0.82059045369519723</v>
      </c>
      <c r="F24" s="500">
        <v>0.68994178176983434</v>
      </c>
      <c r="G24" s="483">
        <v>0.79573792522356035</v>
      </c>
      <c r="H24" s="483">
        <v>0.79911371361742967</v>
      </c>
      <c r="I24" s="428">
        <v>1.2692184091728167</v>
      </c>
      <c r="J24" s="428">
        <v>1.4408061364755573</v>
      </c>
      <c r="K24" s="428">
        <v>1.2233228322009777</v>
      </c>
      <c r="L24" s="428">
        <v>1.3823093369803234</v>
      </c>
      <c r="M24" s="428">
        <v>1.4038399426983663</v>
      </c>
      <c r="N24" s="428">
        <v>13.104263564168489</v>
      </c>
      <c r="O24" s="428">
        <v>10.108843784106861</v>
      </c>
      <c r="P24" s="428">
        <v>13.099092950817974</v>
      </c>
      <c r="Q24" s="428">
        <v>9.1900388180014723</v>
      </c>
      <c r="R24" s="428">
        <v>11.196715171877123</v>
      </c>
      <c r="S24" s="428">
        <v>9.3258670616410217</v>
      </c>
      <c r="T24" s="472">
        <v>9.3124345763883074</v>
      </c>
      <c r="U24" s="506">
        <v>9.2688791800381374</v>
      </c>
      <c r="V24" s="526">
        <v>8.787851254688352</v>
      </c>
      <c r="W24" s="494">
        <v>9.4936202150111235</v>
      </c>
      <c r="Y24" s="441" t="s">
        <v>61</v>
      </c>
      <c r="Z24" s="427">
        <v>15</v>
      </c>
      <c r="AA24" s="429">
        <v>5.0952968134431162E-2</v>
      </c>
      <c r="AB24" s="478">
        <v>5.7542814493083884E-2</v>
      </c>
      <c r="AC24" s="509">
        <v>4.724659151576218E-2</v>
      </c>
      <c r="AD24" s="489">
        <v>5.4592102899745316E-2</v>
      </c>
      <c r="AE24" s="429">
        <v>5.5560838181069161E-2</v>
      </c>
      <c r="AF24" s="429">
        <v>8.5867959769222832E-2</v>
      </c>
      <c r="AG24" s="429">
        <v>9.4721637270203829E-2</v>
      </c>
      <c r="AH24" s="429">
        <v>7.8794607041247841E-2</v>
      </c>
      <c r="AI24" s="429">
        <v>8.9708632440222966E-2</v>
      </c>
      <c r="AJ24" s="429">
        <v>9.2009234560077147E-2</v>
      </c>
      <c r="AK24" s="429">
        <v>1.5760394752862241</v>
      </c>
      <c r="AL24" s="429">
        <v>1.2657279037084492</v>
      </c>
      <c r="AM24" s="429">
        <v>1.6217847616344367</v>
      </c>
      <c r="AN24" s="429">
        <v>1.1567675588397663</v>
      </c>
      <c r="AO24" s="429">
        <v>1.3956738307945262</v>
      </c>
      <c r="AP24" s="429">
        <v>0.70350925044305879</v>
      </c>
      <c r="AQ24" s="429">
        <v>0.73488031772279372</v>
      </c>
      <c r="AR24" s="448">
        <v>0.71886386132366187</v>
      </c>
      <c r="AS24" s="524">
        <v>0.71866627537508676</v>
      </c>
      <c r="AT24" s="445">
        <v>0.75604887047997282</v>
      </c>
    </row>
    <row r="25" spans="2:49" ht="15" customHeight="1" x14ac:dyDescent="0.25">
      <c r="B25" s="441" t="s">
        <v>61</v>
      </c>
      <c r="C25" s="427">
        <v>20</v>
      </c>
      <c r="D25" s="428">
        <v>0.61921517542831961</v>
      </c>
      <c r="E25" s="428">
        <v>0.7860432354536605</v>
      </c>
      <c r="F25" s="500">
        <v>0.61456971847183439</v>
      </c>
      <c r="G25" s="483">
        <v>0.7622379155242226</v>
      </c>
      <c r="H25" s="483">
        <v>0.74528785401998454</v>
      </c>
      <c r="I25" s="428">
        <v>1.109689312857701</v>
      </c>
      <c r="J25" s="428">
        <v>1.3801475657885343</v>
      </c>
      <c r="K25" s="428">
        <v>1.0896820405011061</v>
      </c>
      <c r="L25" s="428">
        <v>1.3241150813988565</v>
      </c>
      <c r="M25" s="428">
        <v>1.3092815708855372</v>
      </c>
      <c r="N25" s="428">
        <v>11.436849341024223</v>
      </c>
      <c r="O25" s="428">
        <v>9.2218999499194005</v>
      </c>
      <c r="P25" s="428">
        <v>11.437850379449392</v>
      </c>
      <c r="Q25" s="428">
        <v>8.3837116345490887</v>
      </c>
      <c r="R25" s="428">
        <v>10.013752492835046</v>
      </c>
      <c r="S25" s="428">
        <v>8.0860979031211304</v>
      </c>
      <c r="T25" s="472">
        <v>8.0711232649687759</v>
      </c>
      <c r="U25" s="506">
        <v>8.0449954569875501</v>
      </c>
      <c r="V25" s="526">
        <v>7.6164763671367153</v>
      </c>
      <c r="W25" s="494">
        <v>8.2320769576088253</v>
      </c>
      <c r="Y25" s="441" t="s">
        <v>61</v>
      </c>
      <c r="Z25" s="427">
        <v>20</v>
      </c>
      <c r="AA25" s="429">
        <v>4.552656051881402E-2</v>
      </c>
      <c r="AB25" s="478">
        <v>5.5690408608406392E-2</v>
      </c>
      <c r="AC25" s="509">
        <v>4.3008367418904174E-2</v>
      </c>
      <c r="AD25" s="489">
        <v>5.2834762823530459E-2</v>
      </c>
      <c r="AE25" s="429">
        <v>5.2619886826618056E-2</v>
      </c>
      <c r="AF25" s="429">
        <v>7.6723162755634303E-2</v>
      </c>
      <c r="AG25" s="429">
        <v>9.1672378734080226E-2</v>
      </c>
      <c r="AH25" s="429">
        <v>7.1726389175134408E-2</v>
      </c>
      <c r="AI25" s="429">
        <v>8.682087823044024E-2</v>
      </c>
      <c r="AJ25" s="429">
        <v>8.7138993363937919E-2</v>
      </c>
      <c r="AK25" s="429">
        <v>1.3492827317772338</v>
      </c>
      <c r="AL25" s="429">
        <v>1.1387158236768506</v>
      </c>
      <c r="AM25" s="429">
        <v>1.3911927024365089</v>
      </c>
      <c r="AN25" s="429">
        <v>1.0406895038162589</v>
      </c>
      <c r="AO25" s="429">
        <v>1.2286672044499027</v>
      </c>
      <c r="AP25" s="429">
        <v>0.59980407993543428</v>
      </c>
      <c r="AQ25" s="429">
        <v>0.62600838957659544</v>
      </c>
      <c r="AR25" s="448">
        <v>0.61422736803719191</v>
      </c>
      <c r="AS25" s="524">
        <v>0.61219687305025228</v>
      </c>
      <c r="AT25" s="445">
        <v>0.64468581487716814</v>
      </c>
    </row>
    <row r="26" spans="2:49" ht="15" x14ac:dyDescent="0.25">
      <c r="B26" s="441" t="s">
        <v>61</v>
      </c>
      <c r="C26" s="427">
        <v>25</v>
      </c>
      <c r="D26" s="428">
        <v>0.6137726729889873</v>
      </c>
      <c r="E26" s="428">
        <v>0.75356985083146655</v>
      </c>
      <c r="F26" s="500">
        <v>0.61429482024184823</v>
      </c>
      <c r="G26" s="483">
        <v>0.73074868203730337</v>
      </c>
      <c r="H26" s="483">
        <v>0.72441368746205059</v>
      </c>
      <c r="I26" s="428">
        <v>1.099935858756788</v>
      </c>
      <c r="J26" s="428">
        <v>1.3231302660806252</v>
      </c>
      <c r="K26" s="428">
        <v>1.0891946236057108</v>
      </c>
      <c r="L26" s="428">
        <v>1.2694138285321004</v>
      </c>
      <c r="M26" s="428">
        <v>1.272610959074969</v>
      </c>
      <c r="N26" s="428">
        <v>10.269589885219391</v>
      </c>
      <c r="O26" s="428">
        <v>8.630344654264583</v>
      </c>
      <c r="P26" s="428">
        <v>10.314130238220677</v>
      </c>
      <c r="Q26" s="428">
        <v>7.8459244189678019</v>
      </c>
      <c r="R26" s="428">
        <v>9.215351273433571</v>
      </c>
      <c r="S26" s="428">
        <v>7.3105651946124848</v>
      </c>
      <c r="T26" s="472">
        <v>7.2886675886013386</v>
      </c>
      <c r="U26" s="506">
        <v>7.2943023782916017</v>
      </c>
      <c r="V26" s="526">
        <v>6.8781084856797046</v>
      </c>
      <c r="W26" s="494">
        <v>7.443866450655082</v>
      </c>
      <c r="Y26" s="441" t="s">
        <v>61</v>
      </c>
      <c r="Z26" s="427">
        <v>25</v>
      </c>
      <c r="AA26" s="429">
        <v>4.6185145138610426E-2</v>
      </c>
      <c r="AB26" s="478">
        <v>5.3528326424707548E-2</v>
      </c>
      <c r="AC26" s="509">
        <v>4.4041789092863382E-2</v>
      </c>
      <c r="AD26" s="489">
        <v>5.0783598960583105E-2</v>
      </c>
      <c r="AE26" s="429">
        <v>5.1617549935246212E-2</v>
      </c>
      <c r="AF26" s="429">
        <v>7.7833035638566375E-2</v>
      </c>
      <c r="AG26" s="429">
        <v>8.811335983386108E-2</v>
      </c>
      <c r="AH26" s="429">
        <v>7.3449858574622384E-2</v>
      </c>
      <c r="AI26" s="429">
        <v>8.3450297225459921E-2</v>
      </c>
      <c r="AJ26" s="429">
        <v>8.5479114694615166E-2</v>
      </c>
      <c r="AK26" s="429">
        <v>1.1972753806526193</v>
      </c>
      <c r="AL26" s="429">
        <v>1.0580924305639383</v>
      </c>
      <c r="AM26" s="429">
        <v>1.2404724771429332</v>
      </c>
      <c r="AN26" s="429">
        <v>0.96700655050411766</v>
      </c>
      <c r="AO26" s="429">
        <v>1.1206143111390214</v>
      </c>
      <c r="AP26" s="429">
        <v>0.53784916095707624</v>
      </c>
      <c r="AQ26" s="429">
        <v>0.56061177379147931</v>
      </c>
      <c r="AR26" s="448">
        <v>0.55258734727367564</v>
      </c>
      <c r="AS26" s="524">
        <v>0.54824450253365176</v>
      </c>
      <c r="AT26" s="445">
        <v>0.57821309741520754</v>
      </c>
    </row>
    <row r="27" spans="2:49" ht="15" x14ac:dyDescent="0.25">
      <c r="B27" s="441" t="s">
        <v>61</v>
      </c>
      <c r="C27" s="427">
        <v>30</v>
      </c>
      <c r="D27" s="428">
        <v>0.61860440451923449</v>
      </c>
      <c r="E27" s="428">
        <v>0.68769596172487768</v>
      </c>
      <c r="F27" s="500">
        <v>0.62833563333131703</v>
      </c>
      <c r="G27" s="483">
        <v>0.6668696985650111</v>
      </c>
      <c r="H27" s="483">
        <v>0.68818993925538463</v>
      </c>
      <c r="I27" s="428">
        <v>1.1085947564299659</v>
      </c>
      <c r="J27" s="428">
        <v>1.2074678144509627</v>
      </c>
      <c r="K27" s="428">
        <v>1.114090125934839</v>
      </c>
      <c r="L27" s="428">
        <v>1.1584469982584853</v>
      </c>
      <c r="M27" s="428">
        <v>1.2089750287433927</v>
      </c>
      <c r="N27" s="428">
        <v>9.8799288651956143</v>
      </c>
      <c r="O27" s="428">
        <v>8.407325460519635</v>
      </c>
      <c r="P27" s="428">
        <v>9.9565844044033067</v>
      </c>
      <c r="Q27" s="428">
        <v>7.6431759336991387</v>
      </c>
      <c r="R27" s="428">
        <v>8.938888047328863</v>
      </c>
      <c r="S27" s="428">
        <v>7.0574488960135611</v>
      </c>
      <c r="T27" s="472">
        <v>7.0321181121512009</v>
      </c>
      <c r="U27" s="506">
        <v>7.0522784933780711</v>
      </c>
      <c r="V27" s="526">
        <v>6.6360152422881962</v>
      </c>
      <c r="W27" s="494">
        <v>7.1868137683831721</v>
      </c>
      <c r="Y27" s="441" t="s">
        <v>61</v>
      </c>
      <c r="Z27" s="427">
        <v>30</v>
      </c>
      <c r="AA27" s="429">
        <v>4.7545950020459589E-2</v>
      </c>
      <c r="AB27" s="478">
        <v>5.0188160278221171E-2</v>
      </c>
      <c r="AC27" s="509">
        <v>4.6680354909406148E-2</v>
      </c>
      <c r="AD27" s="489">
        <v>4.7614767070384902E-2</v>
      </c>
      <c r="AE27" s="429">
        <v>5.0423402564204085E-2</v>
      </c>
      <c r="AF27" s="429">
        <v>8.0126317916844977E-2</v>
      </c>
      <c r="AG27" s="429">
        <v>8.2615088521676219E-2</v>
      </c>
      <c r="AH27" s="429">
        <v>7.7850276678806604E-2</v>
      </c>
      <c r="AI27" s="429">
        <v>7.8243104972311267E-2</v>
      </c>
      <c r="AJ27" s="429">
        <v>8.3501596191322469E-2</v>
      </c>
      <c r="AK27" s="429">
        <v>1.1430950922612106</v>
      </c>
      <c r="AL27" s="429">
        <v>1.0231721264106097</v>
      </c>
      <c r="AM27" s="429">
        <v>1.1880283943144989</v>
      </c>
      <c r="AN27" s="429">
        <v>0.93509236793476014</v>
      </c>
      <c r="AO27" s="429">
        <v>1.0787999740022558</v>
      </c>
      <c r="AP27" s="429">
        <v>0.51180441028286638</v>
      </c>
      <c r="AQ27" s="429">
        <v>0.53308186750774345</v>
      </c>
      <c r="AR27" s="448">
        <v>0.52677169340622121</v>
      </c>
      <c r="AS27" s="524">
        <v>0.52132152959069444</v>
      </c>
      <c r="AT27" s="445">
        <v>0.55027562166823429</v>
      </c>
    </row>
    <row r="28" spans="2:49" ht="15" x14ac:dyDescent="0.25">
      <c r="B28" s="441" t="s">
        <v>61</v>
      </c>
      <c r="C28" s="427">
        <v>35</v>
      </c>
      <c r="D28" s="428">
        <v>0.65162974291974063</v>
      </c>
      <c r="E28" s="428">
        <v>0.68488697970997969</v>
      </c>
      <c r="F28" s="500">
        <v>0.67366647863399709</v>
      </c>
      <c r="G28" s="483">
        <v>0.65454982074382762</v>
      </c>
      <c r="H28" s="483">
        <v>0.69956708117881439</v>
      </c>
      <c r="I28" s="428">
        <v>1.167779134544086</v>
      </c>
      <c r="J28" s="428">
        <v>1.2025357578981601</v>
      </c>
      <c r="K28" s="428">
        <v>1.1944653974823713</v>
      </c>
      <c r="L28" s="428">
        <v>1.137045627778507</v>
      </c>
      <c r="M28" s="428">
        <v>1.2289617790565091</v>
      </c>
      <c r="N28" s="428">
        <v>8.4040002329564558</v>
      </c>
      <c r="O28" s="428">
        <v>7.4085190321376784</v>
      </c>
      <c r="P28" s="428">
        <v>8.5898706286993107</v>
      </c>
      <c r="Q28" s="428">
        <v>6.7351504091855574</v>
      </c>
      <c r="R28" s="428">
        <v>7.7952798965364432</v>
      </c>
      <c r="S28" s="428">
        <v>6.141039133601625</v>
      </c>
      <c r="T28" s="472">
        <v>6.097816183342248</v>
      </c>
      <c r="U28" s="506">
        <v>6.1896057777816837</v>
      </c>
      <c r="V28" s="526">
        <v>5.7543400627966781</v>
      </c>
      <c r="W28" s="494">
        <v>6.2569789446593225</v>
      </c>
      <c r="Y28" s="441" t="s">
        <v>61</v>
      </c>
      <c r="Z28" s="427">
        <v>35</v>
      </c>
      <c r="AA28" s="429">
        <v>5.2432434067185854E-2</v>
      </c>
      <c r="AB28" s="478">
        <v>5.0924892211251231E-2</v>
      </c>
      <c r="AC28" s="509">
        <v>5.3363985730839704E-2</v>
      </c>
      <c r="AD28" s="489">
        <v>4.7531576646204519E-2</v>
      </c>
      <c r="AE28" s="429">
        <v>5.2997972193319427E-2</v>
      </c>
      <c r="AF28" s="429">
        <v>8.8361214349771386E-2</v>
      </c>
      <c r="AG28" s="429">
        <v>8.3827828210212604E-2</v>
      </c>
      <c r="AH28" s="429">
        <v>8.899677523644195E-2</v>
      </c>
      <c r="AI28" s="429">
        <v>7.81064020649503E-2</v>
      </c>
      <c r="AJ28" s="429">
        <v>8.7765106041993432E-2</v>
      </c>
      <c r="AK28" s="429">
        <v>0.97963533952623671</v>
      </c>
      <c r="AL28" s="429">
        <v>0.89945269238532355</v>
      </c>
      <c r="AM28" s="429">
        <v>1.0304973471379733</v>
      </c>
      <c r="AN28" s="429">
        <v>0.82202337129234626</v>
      </c>
      <c r="AO28" s="429">
        <v>0.94187989821759832</v>
      </c>
      <c r="AP28" s="429">
        <v>0.4399747089464276</v>
      </c>
      <c r="AQ28" s="429">
        <v>0.45660291189971403</v>
      </c>
      <c r="AR28" s="448">
        <v>0.45692822710896652</v>
      </c>
      <c r="AS28" s="524">
        <v>0.44652919659442253</v>
      </c>
      <c r="AT28" s="445">
        <v>0.47331325244465816</v>
      </c>
    </row>
    <row r="29" spans="2:49" ht="15" x14ac:dyDescent="0.25">
      <c r="B29" s="441" t="s">
        <v>61</v>
      </c>
      <c r="C29" s="427">
        <v>40</v>
      </c>
      <c r="D29" s="428">
        <v>0.67809059121628112</v>
      </c>
      <c r="E29" s="428">
        <v>0.6934421032268766</v>
      </c>
      <c r="F29" s="500">
        <v>0.7070418261071888</v>
      </c>
      <c r="G29" s="483">
        <v>0.65348730947498546</v>
      </c>
      <c r="H29" s="483">
        <v>0.71370465336579003</v>
      </c>
      <c r="I29" s="428">
        <v>1.2151993557030858</v>
      </c>
      <c r="J29" s="428">
        <v>1.2175569836581543</v>
      </c>
      <c r="K29" s="428">
        <v>1.2536426000745422</v>
      </c>
      <c r="L29" s="428">
        <v>1.1351998954073188</v>
      </c>
      <c r="M29" s="428">
        <v>1.2537979046174323</v>
      </c>
      <c r="N29" s="428">
        <v>8.0469349632351221</v>
      </c>
      <c r="O29" s="428">
        <v>7.1288702344222035</v>
      </c>
      <c r="P29" s="428">
        <v>8.2997302778801885</v>
      </c>
      <c r="Q29" s="428">
        <v>6.4809197703494519</v>
      </c>
      <c r="R29" s="428">
        <v>7.5082437526616195</v>
      </c>
      <c r="S29" s="428">
        <v>5.9413789643332358</v>
      </c>
      <c r="T29" s="472">
        <v>5.8913174170828313</v>
      </c>
      <c r="U29" s="506">
        <v>6.0089731840539207</v>
      </c>
      <c r="V29" s="526">
        <v>5.5594796966008753</v>
      </c>
      <c r="W29" s="494">
        <v>6.0548507374800087</v>
      </c>
      <c r="Y29" s="441" t="s">
        <v>61</v>
      </c>
      <c r="Z29" s="427">
        <v>40</v>
      </c>
      <c r="AA29" s="429">
        <v>5.6276075645135211E-2</v>
      </c>
      <c r="AB29" s="478">
        <v>5.2210482049746557E-2</v>
      </c>
      <c r="AC29" s="509">
        <v>5.8182850351051821E-2</v>
      </c>
      <c r="AD29" s="489">
        <v>4.7988573649475022E-2</v>
      </c>
      <c r="AE29" s="429">
        <v>5.5264082985379132E-2</v>
      </c>
      <c r="AF29" s="429">
        <v>9.4838671355060966E-2</v>
      </c>
      <c r="AG29" s="429">
        <v>8.5944046810796523E-2</v>
      </c>
      <c r="AH29" s="429">
        <v>9.7033345324421996E-2</v>
      </c>
      <c r="AI29" s="429">
        <v>7.8857363724514226E-2</v>
      </c>
      <c r="AJ29" s="429">
        <v>9.1517805357404183E-2</v>
      </c>
      <c r="AK29" s="429">
        <v>0.93433701273982317</v>
      </c>
      <c r="AL29" s="429">
        <v>0.85747498710726278</v>
      </c>
      <c r="AM29" s="429">
        <v>0.98998289093577196</v>
      </c>
      <c r="AN29" s="429">
        <v>0.78365928513163219</v>
      </c>
      <c r="AO29" s="429">
        <v>0.90031197101852112</v>
      </c>
      <c r="AP29" s="429">
        <v>0.41851548417522011</v>
      </c>
      <c r="AQ29" s="429">
        <v>0.43364621067727743</v>
      </c>
      <c r="AR29" s="448">
        <v>0.43632858872103825</v>
      </c>
      <c r="AS29" s="524">
        <v>0.42407910826033185</v>
      </c>
      <c r="AT29" s="445">
        <v>0.4503380618715403</v>
      </c>
    </row>
    <row r="30" spans="2:49" ht="15" x14ac:dyDescent="0.25">
      <c r="B30" s="441" t="s">
        <v>61</v>
      </c>
      <c r="C30" s="427">
        <v>45</v>
      </c>
      <c r="D30" s="428">
        <v>0.69767513528606295</v>
      </c>
      <c r="E30" s="428">
        <v>0.70009633550098382</v>
      </c>
      <c r="F30" s="500">
        <v>0.72958056997627041</v>
      </c>
      <c r="G30" s="483">
        <v>0.65745913087642516</v>
      </c>
      <c r="H30" s="483">
        <v>0.72573872938531059</v>
      </c>
      <c r="I30" s="428">
        <v>1.2502966209411266</v>
      </c>
      <c r="J30" s="428">
        <v>1.2292405934916517</v>
      </c>
      <c r="K30" s="428">
        <v>1.2936056240755665</v>
      </c>
      <c r="L30" s="428">
        <v>1.1420995110144121</v>
      </c>
      <c r="M30" s="428">
        <v>1.2749387213770347</v>
      </c>
      <c r="N30" s="428">
        <v>7.7641554673024569</v>
      </c>
      <c r="O30" s="428">
        <v>6.9125866877711246</v>
      </c>
      <c r="P30" s="428">
        <v>8.0681256740116325</v>
      </c>
      <c r="Q30" s="428">
        <v>6.2842943359357797</v>
      </c>
      <c r="R30" s="428">
        <v>7.2834780552144966</v>
      </c>
      <c r="S30" s="428">
        <v>5.7869862381682813</v>
      </c>
      <c r="T30" s="472">
        <v>5.7304165166018208</v>
      </c>
      <c r="U30" s="506">
        <v>5.8723819428816917</v>
      </c>
      <c r="V30" s="526">
        <v>5.4076464768224586</v>
      </c>
      <c r="W30" s="494">
        <v>5.8987532558162785</v>
      </c>
      <c r="Y30" s="441" t="s">
        <v>61</v>
      </c>
      <c r="Z30" s="427">
        <v>45</v>
      </c>
      <c r="AA30" s="429">
        <v>5.9155095181805138E-2</v>
      </c>
      <c r="AB30" s="478">
        <v>5.321043520145851E-2</v>
      </c>
      <c r="AC30" s="509">
        <v>6.156934340843901E-2</v>
      </c>
      <c r="AD30" s="489">
        <v>4.8769009924384155E-2</v>
      </c>
      <c r="AE30" s="429">
        <v>5.7110933673668984E-2</v>
      </c>
      <c r="AF30" s="429">
        <v>9.9690509094863322E-2</v>
      </c>
      <c r="AG30" s="429">
        <v>8.7590076824414317E-2</v>
      </c>
      <c r="AH30" s="429">
        <v>0.10268110490123118</v>
      </c>
      <c r="AI30" s="429">
        <v>8.0139817911293085E-2</v>
      </c>
      <c r="AJ30" s="429">
        <v>9.4576206269617172E-2</v>
      </c>
      <c r="AK30" s="429">
        <v>0.89902120967554711</v>
      </c>
      <c r="AL30" s="429">
        <v>0.82510544486462922</v>
      </c>
      <c r="AM30" s="429">
        <v>0.95836031131169652</v>
      </c>
      <c r="AN30" s="429">
        <v>0.7540764885259259</v>
      </c>
      <c r="AO30" s="429">
        <v>0.86810701478618124</v>
      </c>
      <c r="AP30" s="429">
        <v>0.40189435916905619</v>
      </c>
      <c r="AQ30" s="429">
        <v>0.41577771868986318</v>
      </c>
      <c r="AR30" s="448">
        <v>0.42058668943325417</v>
      </c>
      <c r="AS30" s="524">
        <v>0.40660484267142538</v>
      </c>
      <c r="AT30" s="445">
        <v>0.4325562365872434</v>
      </c>
    </row>
    <row r="31" spans="2:49" ht="15" x14ac:dyDescent="0.25">
      <c r="B31" s="441" t="s">
        <v>61</v>
      </c>
      <c r="C31" s="427">
        <v>50</v>
      </c>
      <c r="D31" s="428">
        <v>0.70365923693412913</v>
      </c>
      <c r="E31" s="428">
        <v>0.70785223701307876</v>
      </c>
      <c r="F31" s="500">
        <v>0.735285898450456</v>
      </c>
      <c r="G31" s="483">
        <v>0.66877136961679884</v>
      </c>
      <c r="H31" s="483">
        <v>0.73473338737876426</v>
      </c>
      <c r="I31" s="428">
        <v>1.2610206695585071</v>
      </c>
      <c r="J31" s="428">
        <v>1.2428585321871428</v>
      </c>
      <c r="K31" s="428">
        <v>1.3037216349798109</v>
      </c>
      <c r="L31" s="428">
        <v>1.1617504698757428</v>
      </c>
      <c r="M31" s="428">
        <v>1.2907400522101162</v>
      </c>
      <c r="N31" s="428">
        <v>7.4983171863700866</v>
      </c>
      <c r="O31" s="428">
        <v>7.0874670181579154</v>
      </c>
      <c r="P31" s="428">
        <v>7.8396623276611122</v>
      </c>
      <c r="Q31" s="428">
        <v>6.4432807900948754</v>
      </c>
      <c r="R31" s="428">
        <v>7.2962073489760995</v>
      </c>
      <c r="S31" s="428">
        <v>5.5953463842528093</v>
      </c>
      <c r="T31" s="472">
        <v>5.5336110416348392</v>
      </c>
      <c r="U31" s="506">
        <v>5.695554025306989</v>
      </c>
      <c r="V31" s="526">
        <v>5.2219306325443071</v>
      </c>
      <c r="W31" s="494">
        <v>5.7045368291931906</v>
      </c>
      <c r="Y31" s="441" t="s">
        <v>61</v>
      </c>
      <c r="Z31" s="427">
        <v>50</v>
      </c>
      <c r="AA31" s="429">
        <v>6.0490501947330015E-2</v>
      </c>
      <c r="AB31" s="478">
        <v>5.4369638218153674E-2</v>
      </c>
      <c r="AC31" s="509">
        <v>6.297350389542937E-2</v>
      </c>
      <c r="AD31" s="489">
        <v>5.0113838771584027E-2</v>
      </c>
      <c r="AE31" s="429">
        <v>5.8515787092989956E-2</v>
      </c>
      <c r="AF31" s="429">
        <v>0.10194098946168126</v>
      </c>
      <c r="AG31" s="429">
        <v>8.9498249176378816E-2</v>
      </c>
      <c r="AH31" s="429">
        <v>0.10502286692565872</v>
      </c>
      <c r="AI31" s="429">
        <v>8.2349711839907899E-2</v>
      </c>
      <c r="AJ31" s="429">
        <v>9.6902655833959267E-2</v>
      </c>
      <c r="AK31" s="429">
        <v>0.86992730572767263</v>
      </c>
      <c r="AL31" s="429">
        <v>0.85383007522977927</v>
      </c>
      <c r="AM31" s="429">
        <v>0.93161112833360227</v>
      </c>
      <c r="AN31" s="429">
        <v>0.78032820707155182</v>
      </c>
      <c r="AO31" s="429">
        <v>0.87448111737065926</v>
      </c>
      <c r="AP31" s="429">
        <v>0.38178960829242603</v>
      </c>
      <c r="AQ31" s="429">
        <v>0.39430898990251578</v>
      </c>
      <c r="AR31" s="448">
        <v>0.40119359982909658</v>
      </c>
      <c r="AS31" s="524">
        <v>0.38560953511397322</v>
      </c>
      <c r="AT31" s="445">
        <v>0.41102546670318169</v>
      </c>
    </row>
    <row r="32" spans="2:49" x14ac:dyDescent="0.3">
      <c r="B32" s="441" t="s">
        <v>61</v>
      </c>
      <c r="C32" s="427">
        <v>55</v>
      </c>
      <c r="D32" s="428">
        <v>0.70576084285483631</v>
      </c>
      <c r="E32" s="428">
        <v>0.72390260029149933</v>
      </c>
      <c r="F32" s="500">
        <v>0.73592373314149173</v>
      </c>
      <c r="G32" s="483">
        <v>0.68558352367180475</v>
      </c>
      <c r="H32" s="483">
        <v>0.74574605323754539</v>
      </c>
      <c r="I32" s="428">
        <v>1.2647869364760356</v>
      </c>
      <c r="J32" s="428">
        <v>1.2710400224787664</v>
      </c>
      <c r="K32" s="428">
        <v>1.3048525677067901</v>
      </c>
      <c r="L32" s="428">
        <v>1.1909555596274439</v>
      </c>
      <c r="M32" s="428">
        <v>1.3100865105985764</v>
      </c>
      <c r="N32" s="428">
        <v>7.2764750358296855</v>
      </c>
      <c r="O32" s="428">
        <v>7.2305516880758072</v>
      </c>
      <c r="P32" s="428">
        <v>7.6375751016591726</v>
      </c>
      <c r="Q32" s="428">
        <v>6.5733626098714639</v>
      </c>
      <c r="R32" s="428">
        <v>7.301592318768221</v>
      </c>
      <c r="S32" s="428">
        <v>5.4095521590282987</v>
      </c>
      <c r="T32" s="472">
        <v>5.3446582966475944</v>
      </c>
      <c r="U32" s="506">
        <v>5.519490087621528</v>
      </c>
      <c r="V32" s="526">
        <v>5.0436227511727623</v>
      </c>
      <c r="W32" s="494">
        <v>5.515950167433032</v>
      </c>
      <c r="Y32" s="441" t="s">
        <v>61</v>
      </c>
      <c r="Z32" s="427">
        <v>55</v>
      </c>
      <c r="AA32" s="429">
        <v>6.1234246026660069E-2</v>
      </c>
      <c r="AB32" s="478">
        <v>5.6751148570804127E-2</v>
      </c>
      <c r="AC32" s="509">
        <v>6.3476199958803575E-2</v>
      </c>
      <c r="AD32" s="489">
        <v>5.2190540870918033E-2</v>
      </c>
      <c r="AE32" s="429">
        <v>6.0162460714201942E-2</v>
      </c>
      <c r="AF32" s="429">
        <v>0.10319437643835389</v>
      </c>
      <c r="AG32" s="429">
        <v>9.341847035023372E-2</v>
      </c>
      <c r="AH32" s="429">
        <v>0.10586122875249099</v>
      </c>
      <c r="AI32" s="429">
        <v>8.5762258626374738E-2</v>
      </c>
      <c r="AJ32" s="429">
        <v>9.9629561770191305E-2</v>
      </c>
      <c r="AK32" s="429">
        <v>0.84567087140635477</v>
      </c>
      <c r="AL32" s="429">
        <v>0.87733189084026952</v>
      </c>
      <c r="AM32" s="429">
        <v>0.90809923781733159</v>
      </c>
      <c r="AN32" s="429">
        <v>0.80180706267706381</v>
      </c>
      <c r="AO32" s="429">
        <v>0.87915253703342888</v>
      </c>
      <c r="AP32" s="429">
        <v>0.36410684412677358</v>
      </c>
      <c r="AQ32" s="429">
        <v>0.37554568229820834</v>
      </c>
      <c r="AR32" s="448">
        <v>0.38384220620048204</v>
      </c>
      <c r="AS32" s="524">
        <v>0.36725982190375778</v>
      </c>
      <c r="AT32" s="445">
        <v>0.39206869112767317</v>
      </c>
    </row>
    <row r="33" spans="2:46" x14ac:dyDescent="0.3">
      <c r="B33" s="441" t="s">
        <v>61</v>
      </c>
      <c r="C33" s="427">
        <v>60</v>
      </c>
      <c r="D33" s="428">
        <v>0.71690976259685257</v>
      </c>
      <c r="E33" s="428">
        <v>0.73727865598468523</v>
      </c>
      <c r="F33" s="500">
        <v>0.74559900183705485</v>
      </c>
      <c r="G33" s="483">
        <v>0.70859905956026825</v>
      </c>
      <c r="H33" s="483">
        <v>0.7629116883380318</v>
      </c>
      <c r="I33" s="428">
        <v>1.2847668038606905</v>
      </c>
      <c r="J33" s="428">
        <v>1.2945259197833185</v>
      </c>
      <c r="K33" s="428">
        <v>1.3220076051544429</v>
      </c>
      <c r="L33" s="428">
        <v>1.2309368011213571</v>
      </c>
      <c r="M33" s="428">
        <v>1.3402421740357136</v>
      </c>
      <c r="N33" s="428">
        <v>7.2037017688616718</v>
      </c>
      <c r="O33" s="428">
        <v>7.1813881877853625</v>
      </c>
      <c r="P33" s="428">
        <v>7.5704906526444988</v>
      </c>
      <c r="Q33" s="428">
        <v>6.5286662828711943</v>
      </c>
      <c r="R33" s="428">
        <v>7.2453484406866302</v>
      </c>
      <c r="S33" s="428">
        <v>5.3697688913133579</v>
      </c>
      <c r="T33" s="472">
        <v>5.3054246437547539</v>
      </c>
      <c r="U33" s="506">
        <v>5.4787017038679968</v>
      </c>
      <c r="V33" s="526">
        <v>5.0066122526373205</v>
      </c>
      <c r="W33" s="494">
        <v>5.4753744890716405</v>
      </c>
      <c r="Y33" s="441" t="s">
        <v>61</v>
      </c>
      <c r="Z33" s="427">
        <v>60</v>
      </c>
      <c r="AA33" s="429">
        <v>6.3111820061504981E-2</v>
      </c>
      <c r="AB33" s="478">
        <v>5.8735785581181185E-2</v>
      </c>
      <c r="AC33" s="509">
        <v>6.4908495168833055E-2</v>
      </c>
      <c r="AD33" s="489">
        <v>5.5084850123773045E-2</v>
      </c>
      <c r="AE33" s="429">
        <v>6.2517901738316825E-2</v>
      </c>
      <c r="AF33" s="429">
        <v>0.1063585385586535</v>
      </c>
      <c r="AG33" s="429">
        <v>9.6685395485300793E-2</v>
      </c>
      <c r="AH33" s="429">
        <v>0.10824991192773516</v>
      </c>
      <c r="AI33" s="429">
        <v>9.0518340754398394E-2</v>
      </c>
      <c r="AJ33" s="429">
        <v>0.10353019273212766</v>
      </c>
      <c r="AK33" s="429">
        <v>0.83019068893705905</v>
      </c>
      <c r="AL33" s="429">
        <v>0.8643383772374249</v>
      </c>
      <c r="AM33" s="429">
        <v>0.89260269148444027</v>
      </c>
      <c r="AN33" s="429">
        <v>0.78993200634040195</v>
      </c>
      <c r="AO33" s="429">
        <v>0.86524273305023791</v>
      </c>
      <c r="AP33" s="429">
        <v>0.36618102829344407</v>
      </c>
      <c r="AQ33" s="429">
        <v>0.37790327433754151</v>
      </c>
      <c r="AR33" s="448">
        <v>0.38549150037312591</v>
      </c>
      <c r="AS33" s="524">
        <v>0.36956689063175208</v>
      </c>
      <c r="AT33" s="445">
        <v>0.39426751586859621</v>
      </c>
    </row>
    <row r="34" spans="2:46" x14ac:dyDescent="0.3">
      <c r="B34" s="441" t="s">
        <v>61</v>
      </c>
      <c r="C34" s="427">
        <v>65</v>
      </c>
      <c r="D34" s="428">
        <v>0.75884447640457298</v>
      </c>
      <c r="E34" s="428">
        <v>0.76510991985595134</v>
      </c>
      <c r="F34" s="500">
        <v>0.78107182991800861</v>
      </c>
      <c r="G34" s="483">
        <v>0.7419398661428328</v>
      </c>
      <c r="H34" s="483">
        <v>0.79845129390727065</v>
      </c>
      <c r="I34" s="428">
        <v>1.3599175843918443</v>
      </c>
      <c r="J34" s="428">
        <v>1.343392507971152</v>
      </c>
      <c r="K34" s="428">
        <v>1.3849038112703485</v>
      </c>
      <c r="L34" s="428">
        <v>1.2888544983689605</v>
      </c>
      <c r="M34" s="428">
        <v>1.4026762394204657</v>
      </c>
      <c r="N34" s="428">
        <v>7.812324465976408</v>
      </c>
      <c r="O34" s="428">
        <v>7.8150527987812719</v>
      </c>
      <c r="P34" s="428">
        <v>8.1442011984348461</v>
      </c>
      <c r="Q34" s="428">
        <v>7.1047363551741132</v>
      </c>
      <c r="R34" s="428">
        <v>7.8533690903117961</v>
      </c>
      <c r="S34" s="428">
        <v>5.6903448119263667</v>
      </c>
      <c r="T34" s="472">
        <v>5.6336384591784885</v>
      </c>
      <c r="U34" s="506">
        <v>5.7769892371090883</v>
      </c>
      <c r="V34" s="526">
        <v>5.3163497243667832</v>
      </c>
      <c r="W34" s="494">
        <v>5.8004212781516271</v>
      </c>
      <c r="Y34" s="441" t="s">
        <v>61</v>
      </c>
      <c r="Z34" s="427">
        <v>65</v>
      </c>
      <c r="AA34" s="429">
        <v>6.9541280043763365E-2</v>
      </c>
      <c r="AB34" s="478">
        <v>6.2979301035066312E-2</v>
      </c>
      <c r="AC34" s="509">
        <v>7.0292046659858942E-2</v>
      </c>
      <c r="AD34" s="489">
        <v>5.9750393607464314E-2</v>
      </c>
      <c r="AE34" s="429">
        <v>6.7733653238345251E-2</v>
      </c>
      <c r="AF34" s="429">
        <v>0.11719371914396906</v>
      </c>
      <c r="AG34" s="429">
        <v>0.10367067653410528</v>
      </c>
      <c r="AH34" s="429">
        <v>0.1172282278360942</v>
      </c>
      <c r="AI34" s="429">
        <v>9.8185008702342383E-2</v>
      </c>
      <c r="AJ34" s="429">
        <v>0.11216752288919327</v>
      </c>
      <c r="AK34" s="429">
        <v>0.88122064359564189</v>
      </c>
      <c r="AL34" s="429">
        <v>0.91992046122515791</v>
      </c>
      <c r="AM34" s="429">
        <v>0.94154252510957914</v>
      </c>
      <c r="AN34" s="429">
        <v>0.84072930773696508</v>
      </c>
      <c r="AO34" s="429">
        <v>0.91805366885104822</v>
      </c>
      <c r="AP34" s="429">
        <v>0.38205645384167897</v>
      </c>
      <c r="AQ34" s="429">
        <v>0.39501243590352081</v>
      </c>
      <c r="AR34" s="448">
        <v>0.40041760144533001</v>
      </c>
      <c r="AS34" s="524">
        <v>0.38629966026359641</v>
      </c>
      <c r="AT34" s="445">
        <v>0.41124350372321589</v>
      </c>
    </row>
    <row r="35" spans="2:46" x14ac:dyDescent="0.3">
      <c r="B35" s="441" t="s">
        <v>61</v>
      </c>
      <c r="C35" s="427">
        <v>70</v>
      </c>
      <c r="D35" s="428">
        <v>0.82813335916187969</v>
      </c>
      <c r="E35" s="428">
        <v>0.83084573585870469</v>
      </c>
      <c r="F35" s="500">
        <v>0.84159435687919693</v>
      </c>
      <c r="G35" s="483">
        <v>0.80568509360494167</v>
      </c>
      <c r="H35" s="483">
        <v>0.86525696274516684</v>
      </c>
      <c r="I35" s="428">
        <v>1.4840894970754253</v>
      </c>
      <c r="J35" s="428">
        <v>1.4588125285873992</v>
      </c>
      <c r="K35" s="428">
        <v>1.4922151686202363</v>
      </c>
      <c r="L35" s="428">
        <v>1.3995889755324709</v>
      </c>
      <c r="M35" s="428">
        <v>1.5200368411911129</v>
      </c>
      <c r="N35" s="428">
        <v>8.3881019726649519</v>
      </c>
      <c r="O35" s="428">
        <v>8.4138093486643708</v>
      </c>
      <c r="P35" s="428">
        <v>8.68865958025245</v>
      </c>
      <c r="Q35" s="428">
        <v>7.6490704101875169</v>
      </c>
      <c r="R35" s="428">
        <v>8.4286755942440585</v>
      </c>
      <c r="S35" s="428">
        <v>5.9668325022671862</v>
      </c>
      <c r="T35" s="472">
        <v>5.9163348507623166</v>
      </c>
      <c r="U35" s="506">
        <v>6.0352179084149196</v>
      </c>
      <c r="V35" s="526">
        <v>5.5831296291488686</v>
      </c>
      <c r="W35" s="494">
        <v>6.0808288314291525</v>
      </c>
      <c r="Y35" s="441" t="s">
        <v>61</v>
      </c>
      <c r="Z35" s="427">
        <v>70</v>
      </c>
      <c r="AA35" s="429">
        <v>8.1199931667120376E-2</v>
      </c>
      <c r="AB35" s="478">
        <v>7.3119892480736928E-2</v>
      </c>
      <c r="AC35" s="509">
        <v>8.0178587013757713E-2</v>
      </c>
      <c r="AD35" s="489">
        <v>6.9371033032412655E-2</v>
      </c>
      <c r="AE35" s="429">
        <v>7.8226660588258445E-2</v>
      </c>
      <c r="AF35" s="429">
        <v>0.13684134057235281</v>
      </c>
      <c r="AG35" s="429">
        <v>0.12036317642455802</v>
      </c>
      <c r="AH35" s="429">
        <v>0.1337163180282302</v>
      </c>
      <c r="AI35" s="429">
        <v>0.11399415251930704</v>
      </c>
      <c r="AJ35" s="429">
        <v>0.12954403494526459</v>
      </c>
      <c r="AK35" s="429">
        <v>0.93020052806261455</v>
      </c>
      <c r="AL35" s="429">
        <v>0.97315005983006353</v>
      </c>
      <c r="AM35" s="429">
        <v>0.98880187999943425</v>
      </c>
      <c r="AN35" s="429">
        <v>0.88937654631641383</v>
      </c>
      <c r="AO35" s="429">
        <v>0.96876016397048126</v>
      </c>
      <c r="AP35" s="429">
        <v>0.39576499574714868</v>
      </c>
      <c r="AQ35" s="429">
        <v>0.40977143779524938</v>
      </c>
      <c r="AR35" s="448">
        <v>0.41334624724938401</v>
      </c>
      <c r="AS35" s="524">
        <v>0.40073377479274808</v>
      </c>
      <c r="AT35" s="445">
        <v>0.42590574078903437</v>
      </c>
    </row>
    <row r="36" spans="2:46" ht="15" thickBot="1" x14ac:dyDescent="0.35">
      <c r="B36" s="442" t="s">
        <v>61</v>
      </c>
      <c r="C36" s="432">
        <v>75</v>
      </c>
      <c r="D36" s="439">
        <v>0.91062756679248158</v>
      </c>
      <c r="E36" s="439">
        <v>0.91616325584138669</v>
      </c>
      <c r="F36" s="501">
        <v>0.91506178191281917</v>
      </c>
      <c r="G36" s="484">
        <v>0.88841842619334588</v>
      </c>
      <c r="H36" s="484">
        <v>0.94966722734191389</v>
      </c>
      <c r="I36" s="439">
        <v>1.6319265401792571</v>
      </c>
      <c r="J36" s="439">
        <v>1.6086144252416636</v>
      </c>
      <c r="K36" s="439">
        <v>1.6224788819383349</v>
      </c>
      <c r="L36" s="439">
        <v>1.5433084772570114</v>
      </c>
      <c r="M36" s="439">
        <v>1.6683242488470673</v>
      </c>
      <c r="N36" s="439">
        <v>9.0473988229196252</v>
      </c>
      <c r="O36" s="439">
        <v>9.1011176314806459</v>
      </c>
      <c r="P36" s="439">
        <v>9.3080090833870841</v>
      </c>
      <c r="Q36" s="439">
        <v>8.27390830884843</v>
      </c>
      <c r="R36" s="439">
        <v>9.0871960707824098</v>
      </c>
      <c r="S36" s="439">
        <v>6.2969547773309253</v>
      </c>
      <c r="T36" s="473">
        <v>6.2539709371304442</v>
      </c>
      <c r="U36" s="507">
        <v>6.3433171044752861</v>
      </c>
      <c r="V36" s="526">
        <v>5.9017519290496789</v>
      </c>
      <c r="W36" s="495">
        <v>6.4156228410136196</v>
      </c>
      <c r="Y36" s="442" t="s">
        <v>61</v>
      </c>
      <c r="Z36" s="432">
        <v>75</v>
      </c>
      <c r="AA36" s="446">
        <v>9.597121141093154E-2</v>
      </c>
      <c r="AB36" s="479">
        <v>8.6790171763788518E-2</v>
      </c>
      <c r="AC36" s="510">
        <v>9.2919315184508119E-2</v>
      </c>
      <c r="AD36" s="490">
        <v>8.2340404541594581E-2</v>
      </c>
      <c r="AE36" s="446">
        <v>9.2112992517711156E-2</v>
      </c>
      <c r="AF36" s="446">
        <v>0.16173448617743508</v>
      </c>
      <c r="AG36" s="446">
        <v>0.14286592063404097</v>
      </c>
      <c r="AH36" s="446">
        <v>0.15496442582662484</v>
      </c>
      <c r="AI36" s="446">
        <v>0.13530611010838411</v>
      </c>
      <c r="AJ36" s="446">
        <v>0.15253992221953963</v>
      </c>
      <c r="AK36" s="446">
        <v>0.99020743399303701</v>
      </c>
      <c r="AL36" s="446">
        <v>1.0385047865565677</v>
      </c>
      <c r="AM36" s="446">
        <v>1.0463681435780925</v>
      </c>
      <c r="AN36" s="446">
        <v>0.949105336529802</v>
      </c>
      <c r="AO36" s="446">
        <v>1.0308636931961319</v>
      </c>
      <c r="AP36" s="446">
        <v>0.41480093878350061</v>
      </c>
      <c r="AQ36" s="446">
        <v>0.43021552410532421</v>
      </c>
      <c r="AR36" s="449">
        <v>0.43141922778096953</v>
      </c>
      <c r="AS36" s="525">
        <v>0.42072751300844968</v>
      </c>
      <c r="AT36" s="447">
        <v>0.44627261757608278</v>
      </c>
    </row>
    <row r="37" spans="2:46" x14ac:dyDescent="0.3">
      <c r="B37" s="458" t="s">
        <v>302</v>
      </c>
      <c r="C37" s="459">
        <v>2.5</v>
      </c>
      <c r="D37" s="464">
        <v>8.2832397183782977E-2</v>
      </c>
      <c r="E37" s="464">
        <v>7.9917287639109408E-2</v>
      </c>
      <c r="F37" s="502">
        <v>7.592860971646001E-2</v>
      </c>
      <c r="G37" s="485">
        <v>7.75562757716102E-2</v>
      </c>
      <c r="H37" s="485">
        <v>8.2590565811497152E-2</v>
      </c>
      <c r="I37" s="464">
        <v>0.11823368156869787</v>
      </c>
      <c r="J37" s="464">
        <v>0.10548350890912177</v>
      </c>
      <c r="K37" s="464">
        <v>0.10808937186960964</v>
      </c>
      <c r="L37" s="464">
        <v>0.10101657418404653</v>
      </c>
      <c r="M37" s="464">
        <v>0.11154505105292736</v>
      </c>
      <c r="N37" s="464">
        <v>3.4169505147054222</v>
      </c>
      <c r="O37" s="464">
        <v>3.0648973209541928</v>
      </c>
      <c r="P37" s="464">
        <v>3.3617648911944822</v>
      </c>
      <c r="Q37" s="464">
        <v>2.9218302200706856</v>
      </c>
      <c r="R37" s="464">
        <v>3.0784620839595211</v>
      </c>
      <c r="S37" s="464">
        <v>2.1891865065406102</v>
      </c>
      <c r="T37" s="474">
        <v>2.0101430261128463</v>
      </c>
      <c r="U37" s="508">
        <v>2.1362776912637997</v>
      </c>
      <c r="V37" s="486">
        <v>1.9090699693229221</v>
      </c>
      <c r="W37" s="496">
        <v>2.0671092753066818</v>
      </c>
      <c r="Y37" s="458" t="s">
        <v>302</v>
      </c>
      <c r="Z37" s="459">
        <v>2.5</v>
      </c>
      <c r="AA37" s="464">
        <v>4.0864327407591647E-2</v>
      </c>
      <c r="AB37" s="474">
        <v>4.7002095344240338E-2</v>
      </c>
      <c r="AC37" s="508">
        <v>3.6800416201940404E-2</v>
      </c>
      <c r="AD37" s="485">
        <v>4.7511973958459144E-2</v>
      </c>
      <c r="AE37" s="464">
        <v>4.6403195677614868E-2</v>
      </c>
      <c r="AF37" s="464">
        <v>5.3982320104267491E-2</v>
      </c>
      <c r="AG37" s="464">
        <v>5.9560269702536917E-2</v>
      </c>
      <c r="AH37" s="464">
        <v>5.0222605863206871E-2</v>
      </c>
      <c r="AI37" s="464">
        <v>6.0047623554095812E-2</v>
      </c>
      <c r="AJ37" s="464">
        <v>6.0090942129484626E-2</v>
      </c>
      <c r="AK37" s="464">
        <v>0.32756616030983565</v>
      </c>
      <c r="AL37" s="464">
        <v>0.3228470031348078</v>
      </c>
      <c r="AM37" s="464">
        <v>0.32813636010607827</v>
      </c>
      <c r="AN37" s="464">
        <v>0.31634530203599742</v>
      </c>
      <c r="AO37" s="464">
        <v>0.31990991319042811</v>
      </c>
      <c r="AP37" s="464">
        <v>8.1531297417078666E-2</v>
      </c>
      <c r="AQ37" s="464">
        <v>8.7818770861777237E-2</v>
      </c>
      <c r="AR37" s="514">
        <v>8.6214560922564895E-2</v>
      </c>
      <c r="AS37" s="464">
        <v>9.0979488845396944E-2</v>
      </c>
      <c r="AT37" s="465">
        <v>9.2367631256953978E-2</v>
      </c>
    </row>
    <row r="38" spans="2:46" x14ac:dyDescent="0.3">
      <c r="B38" s="450" t="s">
        <v>302</v>
      </c>
      <c r="C38" s="451">
        <v>5</v>
      </c>
      <c r="D38" s="452">
        <v>4.9327893796951572E-2</v>
      </c>
      <c r="E38" s="452">
        <v>4.7946617690080823E-2</v>
      </c>
      <c r="F38" s="503">
        <v>4.5474945387016845E-2</v>
      </c>
      <c r="G38" s="486">
        <v>4.6631567534837999E-2</v>
      </c>
      <c r="H38" s="486">
        <v>4.954229098452316E-2</v>
      </c>
      <c r="I38" s="452">
        <v>7.0409872054085096E-2</v>
      </c>
      <c r="J38" s="452">
        <v>6.328514922969998E-2</v>
      </c>
      <c r="K38" s="452">
        <v>6.4736576911428534E-2</v>
      </c>
      <c r="L38" s="452">
        <v>6.0737331110033252E-2</v>
      </c>
      <c r="M38" s="452">
        <v>6.6910758182241875E-2</v>
      </c>
      <c r="N38" s="452">
        <v>1.9056913007684422</v>
      </c>
      <c r="O38" s="452">
        <v>1.632056550439227</v>
      </c>
      <c r="P38" s="452">
        <v>1.8864516537709748</v>
      </c>
      <c r="Q38" s="452">
        <v>1.555876178643429</v>
      </c>
      <c r="R38" s="452">
        <v>1.6742683628820585</v>
      </c>
      <c r="S38" s="452">
        <v>1.2896549992493769</v>
      </c>
      <c r="T38" s="475">
        <v>1.183659771950943</v>
      </c>
      <c r="U38" s="509">
        <v>1.2600299606507008</v>
      </c>
      <c r="V38" s="486">
        <v>1.1241442567227058</v>
      </c>
      <c r="W38" s="497">
        <v>1.2178750008829713</v>
      </c>
      <c r="Y38" s="450" t="s">
        <v>302</v>
      </c>
      <c r="Z38" s="451">
        <v>5</v>
      </c>
      <c r="AA38" s="452">
        <v>2.3929340936051587E-2</v>
      </c>
      <c r="AB38" s="475">
        <v>2.7295899960711835E-2</v>
      </c>
      <c r="AC38" s="509">
        <v>2.1748706038076715E-2</v>
      </c>
      <c r="AD38" s="486">
        <v>2.7604215712489409E-2</v>
      </c>
      <c r="AE38" s="452">
        <v>2.7115555578994279E-2</v>
      </c>
      <c r="AF38" s="452">
        <v>3.1610977697239903E-2</v>
      </c>
      <c r="AG38" s="452">
        <v>3.4588908250293225E-2</v>
      </c>
      <c r="AH38" s="452">
        <v>2.9681096142806153E-2</v>
      </c>
      <c r="AI38" s="452">
        <v>3.4887364500133626E-2</v>
      </c>
      <c r="AJ38" s="452">
        <v>3.5113945436568275E-2</v>
      </c>
      <c r="AK38" s="452">
        <v>0.1947384994487949</v>
      </c>
      <c r="AL38" s="452">
        <v>0.18566000240590139</v>
      </c>
      <c r="AM38" s="452">
        <v>0.19532542809444728</v>
      </c>
      <c r="AN38" s="452">
        <v>0.18192103955533603</v>
      </c>
      <c r="AO38" s="452">
        <v>0.18653867283878833</v>
      </c>
      <c r="AP38" s="452">
        <v>6.9419595144033147E-2</v>
      </c>
      <c r="AQ38" s="452">
        <v>7.4936349594619769E-2</v>
      </c>
      <c r="AR38" s="448">
        <v>7.2986358485405536E-2</v>
      </c>
      <c r="AS38" s="452">
        <v>7.763353025123422E-2</v>
      </c>
      <c r="AT38" s="453">
        <v>7.8613272081611257E-2</v>
      </c>
    </row>
    <row r="39" spans="2:46" x14ac:dyDescent="0.3">
      <c r="B39" s="450" t="s">
        <v>302</v>
      </c>
      <c r="C39" s="451">
        <v>10</v>
      </c>
      <c r="D39" s="452">
        <v>3.1991310092964714E-2</v>
      </c>
      <c r="E39" s="452">
        <v>3.1859891925325831E-2</v>
      </c>
      <c r="F39" s="503">
        <v>2.9486169254031424E-2</v>
      </c>
      <c r="G39" s="486">
        <v>3.107163923631235E-2</v>
      </c>
      <c r="H39" s="486">
        <v>3.2654276032976548E-2</v>
      </c>
      <c r="I39" s="452">
        <v>4.566390082982643E-2</v>
      </c>
      <c r="J39" s="452">
        <v>4.2052142822026024E-2</v>
      </c>
      <c r="K39" s="452">
        <v>4.197550205924995E-2</v>
      </c>
      <c r="L39" s="452">
        <v>4.0470619801006871E-2</v>
      </c>
      <c r="M39" s="452">
        <v>4.410216652962682E-2</v>
      </c>
      <c r="N39" s="452">
        <v>1.10415014432467</v>
      </c>
      <c r="O39" s="452">
        <v>0.92587504212680594</v>
      </c>
      <c r="P39" s="452">
        <v>1.0871307181723247</v>
      </c>
      <c r="Q39" s="452">
        <v>0.88265627041769612</v>
      </c>
      <c r="R39" s="452">
        <v>0.95658507964841766</v>
      </c>
      <c r="S39" s="452">
        <v>0.75324757194682423</v>
      </c>
      <c r="T39" s="475">
        <v>0.69391553787495386</v>
      </c>
      <c r="U39" s="509">
        <v>0.72960643862490071</v>
      </c>
      <c r="V39" s="486">
        <v>0.6590244813048034</v>
      </c>
      <c r="W39" s="497">
        <v>0.71104154606740488</v>
      </c>
      <c r="Y39" s="450" t="s">
        <v>302</v>
      </c>
      <c r="Z39" s="451">
        <v>10</v>
      </c>
      <c r="AA39" s="452">
        <v>1.5335075402053297E-2</v>
      </c>
      <c r="AB39" s="475">
        <v>1.7371276619393201E-2</v>
      </c>
      <c r="AC39" s="509">
        <v>1.3988628330616884E-2</v>
      </c>
      <c r="AD39" s="486">
        <v>1.7578147008882661E-2</v>
      </c>
      <c r="AE39" s="452">
        <v>1.7327285514068865E-2</v>
      </c>
      <c r="AF39" s="452">
        <v>2.0257838601374589E-2</v>
      </c>
      <c r="AG39" s="452">
        <v>2.2012591416421135E-2</v>
      </c>
      <c r="AH39" s="452">
        <v>1.9090690805241971E-2</v>
      </c>
      <c r="AI39" s="452">
        <v>2.2215998756246438E-2</v>
      </c>
      <c r="AJ39" s="452">
        <v>2.2438388043805692E-2</v>
      </c>
      <c r="AK39" s="452">
        <v>0.11245590356726722</v>
      </c>
      <c r="AL39" s="452">
        <v>0.10325273018591451</v>
      </c>
      <c r="AM39" s="452">
        <v>0.11239601451146083</v>
      </c>
      <c r="AN39" s="452">
        <v>0.10117334541545457</v>
      </c>
      <c r="AO39" s="452">
        <v>0.1052462581092128</v>
      </c>
      <c r="AP39" s="452">
        <v>4.0257883470979985E-2</v>
      </c>
      <c r="AQ39" s="452">
        <v>4.341873395707857E-2</v>
      </c>
      <c r="AR39" s="448">
        <v>4.2465361387827777E-2</v>
      </c>
      <c r="AS39" s="452">
        <v>4.4981495973083381E-2</v>
      </c>
      <c r="AT39" s="453">
        <v>4.5610357519588272E-2</v>
      </c>
    </row>
    <row r="40" spans="2:46" x14ac:dyDescent="0.3">
      <c r="B40" s="450" t="s">
        <v>302</v>
      </c>
      <c r="C40" s="451">
        <v>15</v>
      </c>
      <c r="D40" s="452">
        <v>2.5371806664251709E-2</v>
      </c>
      <c r="E40" s="452">
        <v>2.6397916768057594E-2</v>
      </c>
      <c r="F40" s="503">
        <v>2.3392106234624507E-2</v>
      </c>
      <c r="G40" s="486">
        <v>2.5789014894169231E-2</v>
      </c>
      <c r="H40" s="486">
        <v>2.6640224520097514E-2</v>
      </c>
      <c r="I40" s="452">
        <v>3.6215324099674949E-2</v>
      </c>
      <c r="J40" s="452">
        <v>3.4842835271888972E-2</v>
      </c>
      <c r="K40" s="452">
        <v>3.3300202374963554E-2</v>
      </c>
      <c r="L40" s="452">
        <v>3.3590033949824356E-2</v>
      </c>
      <c r="M40" s="452">
        <v>3.5979717234750561E-2</v>
      </c>
      <c r="N40" s="452">
        <v>0.84405052073051778</v>
      </c>
      <c r="O40" s="452">
        <v>0.63332463972254649</v>
      </c>
      <c r="P40" s="452">
        <v>0.83040211082529269</v>
      </c>
      <c r="Q40" s="452">
        <v>0.6037579851097179</v>
      </c>
      <c r="R40" s="452">
        <v>0.68671545797918554</v>
      </c>
      <c r="S40" s="452">
        <v>0.60357780405268358</v>
      </c>
      <c r="T40" s="475">
        <v>0.55707373385694825</v>
      </c>
      <c r="U40" s="509">
        <v>0.58198909425352785</v>
      </c>
      <c r="V40" s="486">
        <v>0.52906349891132376</v>
      </c>
      <c r="W40" s="497">
        <v>0.56961790403821877</v>
      </c>
      <c r="Y40" s="450" t="s">
        <v>302</v>
      </c>
      <c r="Z40" s="451">
        <v>15</v>
      </c>
      <c r="AA40" s="452">
        <v>1.2368456309549521E-2</v>
      </c>
      <c r="AB40" s="475">
        <v>1.3992674185766871E-2</v>
      </c>
      <c r="AC40" s="509">
        <v>1.1272306168150921E-2</v>
      </c>
      <c r="AD40" s="486">
        <v>1.4165075167023804E-2</v>
      </c>
      <c r="AE40" s="452">
        <v>1.396290746086434E-2</v>
      </c>
      <c r="AF40" s="452">
        <v>1.6338895316645053E-2</v>
      </c>
      <c r="AG40" s="452">
        <v>1.7731282877075545E-2</v>
      </c>
      <c r="AH40" s="452">
        <v>1.5383646389917429E-2</v>
      </c>
      <c r="AI40" s="452">
        <v>1.7902415546628265E-2</v>
      </c>
      <c r="AJ40" s="452">
        <v>1.8081605198473589E-2</v>
      </c>
      <c r="AK40" s="452">
        <v>8.4264507294905366E-2</v>
      </c>
      <c r="AL40" s="452">
        <v>7.1950935746371167E-2</v>
      </c>
      <c r="AM40" s="452">
        <v>8.4261306967847088E-2</v>
      </c>
      <c r="AN40" s="452">
        <v>7.0501899069043861E-2</v>
      </c>
      <c r="AO40" s="452">
        <v>7.5658411353118765E-2</v>
      </c>
      <c r="AP40" s="452">
        <v>2.8152320387103327E-2</v>
      </c>
      <c r="AQ40" s="452">
        <v>3.0309727964935626E-2</v>
      </c>
      <c r="AR40" s="448">
        <v>2.9835766974129787E-2</v>
      </c>
      <c r="AS40" s="452">
        <v>3.1400646146890657E-2</v>
      </c>
      <c r="AT40" s="453">
        <v>3.190705150717154E-2</v>
      </c>
    </row>
    <row r="41" spans="2:46" x14ac:dyDescent="0.3">
      <c r="B41" s="450" t="s">
        <v>302</v>
      </c>
      <c r="C41" s="451">
        <v>20</v>
      </c>
      <c r="D41" s="452">
        <v>2.0099660102124484E-2</v>
      </c>
      <c r="E41" s="452">
        <v>2.288249566687332E-2</v>
      </c>
      <c r="F41" s="503">
        <v>1.8697726572519738E-2</v>
      </c>
      <c r="G41" s="486">
        <v>2.2365912634093332E-2</v>
      </c>
      <c r="H41" s="486">
        <v>2.2420102920568695E-2</v>
      </c>
      <c r="I41" s="452">
        <v>2.8689943705008613E-2</v>
      </c>
      <c r="J41" s="452">
        <v>3.0202801006454061E-2</v>
      </c>
      <c r="K41" s="452">
        <v>2.6617444045933112E-2</v>
      </c>
      <c r="L41" s="452">
        <v>2.9131464221530203E-2</v>
      </c>
      <c r="M41" s="452">
        <v>3.0280111297392102E-2</v>
      </c>
      <c r="N41" s="452">
        <v>0.70533610911841205</v>
      </c>
      <c r="O41" s="452">
        <v>0.55136947918302848</v>
      </c>
      <c r="P41" s="452">
        <v>0.69515165323930239</v>
      </c>
      <c r="Q41" s="452">
        <v>0.52563412319528613</v>
      </c>
      <c r="R41" s="452">
        <v>0.58739907780108658</v>
      </c>
      <c r="S41" s="452">
        <v>0.51088463871429934</v>
      </c>
      <c r="T41" s="475">
        <v>0.47155483370701812</v>
      </c>
      <c r="U41" s="509">
        <v>0.49252552410871048</v>
      </c>
      <c r="V41" s="486">
        <v>0.44784469298963447</v>
      </c>
      <c r="W41" s="497">
        <v>0.48213480315870244</v>
      </c>
      <c r="Y41" s="450" t="s">
        <v>302</v>
      </c>
      <c r="Z41" s="451">
        <v>20</v>
      </c>
      <c r="AA41" s="452">
        <v>9.7391793223063194E-3</v>
      </c>
      <c r="AB41" s="475">
        <v>1.2059368681297672E-2</v>
      </c>
      <c r="AC41" s="509">
        <v>8.9365619302924758E-3</v>
      </c>
      <c r="AD41" s="486">
        <v>1.2209074833522413E-2</v>
      </c>
      <c r="AE41" s="452">
        <v>1.1651709644089703E-2</v>
      </c>
      <c r="AF41" s="452">
        <v>1.2865585440467368E-2</v>
      </c>
      <c r="AG41" s="452">
        <v>1.5281430451981586E-2</v>
      </c>
      <c r="AH41" s="452">
        <v>1.2195987815310443E-2</v>
      </c>
      <c r="AI41" s="452">
        <v>1.5430340364054931E-2</v>
      </c>
      <c r="AJ41" s="452">
        <v>1.5088663608362517E-2</v>
      </c>
      <c r="AK41" s="452">
        <v>6.9274204640501963E-2</v>
      </c>
      <c r="AL41" s="452">
        <v>6.0873324292319751E-2</v>
      </c>
      <c r="AM41" s="452">
        <v>6.9401734363072676E-2</v>
      </c>
      <c r="AN41" s="452">
        <v>5.9647469429249644E-2</v>
      </c>
      <c r="AO41" s="452">
        <v>6.3261766895923999E-2</v>
      </c>
      <c r="AP41" s="452">
        <v>2.1366752144631622E-2</v>
      </c>
      <c r="AQ41" s="452">
        <v>2.2954862398493533E-2</v>
      </c>
      <c r="AR41" s="448">
        <v>2.2765858177994876E-2</v>
      </c>
      <c r="AS41" s="452">
        <v>2.3781050516739052E-2</v>
      </c>
      <c r="AT41" s="453">
        <v>2.4224581052924875E-2</v>
      </c>
    </row>
    <row r="42" spans="2:46" x14ac:dyDescent="0.3">
      <c r="B42" s="450" t="s">
        <v>302</v>
      </c>
      <c r="C42" s="451">
        <v>25</v>
      </c>
      <c r="D42" s="452">
        <v>1.723660245186814E-2</v>
      </c>
      <c r="E42" s="452">
        <v>1.9281905435349817E-2</v>
      </c>
      <c r="F42" s="503">
        <v>1.6170808287985571E-2</v>
      </c>
      <c r="G42" s="486">
        <v>1.8822730058269774E-2</v>
      </c>
      <c r="H42" s="486">
        <v>1.9042883972546585E-2</v>
      </c>
      <c r="I42" s="452">
        <v>2.4603259532604789E-2</v>
      </c>
      <c r="J42" s="452">
        <v>2.5450351280180562E-2</v>
      </c>
      <c r="K42" s="452">
        <v>2.3020209602143224E-2</v>
      </c>
      <c r="L42" s="452">
        <v>2.4516490617429946E-2</v>
      </c>
      <c r="M42" s="452">
        <v>2.5718911646165115E-2</v>
      </c>
      <c r="N42" s="452">
        <v>0.60243683695714612</v>
      </c>
      <c r="O42" s="452">
        <v>0.49440054223466562</v>
      </c>
      <c r="P42" s="452">
        <v>0.59620736346895864</v>
      </c>
      <c r="Q42" s="452">
        <v>0.47132814099822812</v>
      </c>
      <c r="R42" s="452">
        <v>0.51641132400529788</v>
      </c>
      <c r="S42" s="452">
        <v>0.4619678930984229</v>
      </c>
      <c r="T42" s="475">
        <v>0.42632756171960628</v>
      </c>
      <c r="U42" s="509">
        <v>0.4455644649772984</v>
      </c>
      <c r="V42" s="486">
        <v>0.4048920606484272</v>
      </c>
      <c r="W42" s="497">
        <v>0.43598244946975045</v>
      </c>
      <c r="Y42" s="450" t="s">
        <v>302</v>
      </c>
      <c r="Z42" s="451">
        <v>25</v>
      </c>
      <c r="AA42" s="452">
        <v>8.0467911938411595E-3</v>
      </c>
      <c r="AB42" s="475">
        <v>1.0470213578491282E-2</v>
      </c>
      <c r="AC42" s="509">
        <v>7.4346667308323256E-3</v>
      </c>
      <c r="AD42" s="486">
        <v>1.0595887942066711E-2</v>
      </c>
      <c r="AE42" s="452">
        <v>9.952654963641689E-3</v>
      </c>
      <c r="AF42" s="452">
        <v>1.0629918209725279E-2</v>
      </c>
      <c r="AG42" s="452">
        <v>1.3267679664296546E-2</v>
      </c>
      <c r="AH42" s="452">
        <v>1.0146307446577213E-2</v>
      </c>
      <c r="AI42" s="452">
        <v>1.3391527174242444E-2</v>
      </c>
      <c r="AJ42" s="452">
        <v>1.2888431598762278E-2</v>
      </c>
      <c r="AK42" s="452">
        <v>5.8711154190479002E-2</v>
      </c>
      <c r="AL42" s="452">
        <v>5.3505406919940497E-2</v>
      </c>
      <c r="AM42" s="452">
        <v>5.9019134827455397E-2</v>
      </c>
      <c r="AN42" s="452">
        <v>5.24279868476299E-2</v>
      </c>
      <c r="AO42" s="452">
        <v>5.4813644569759908E-2</v>
      </c>
      <c r="AP42" s="452">
        <v>1.9136098788818837E-2</v>
      </c>
      <c r="AQ42" s="452">
        <v>2.0564727989237169E-2</v>
      </c>
      <c r="AR42" s="448">
        <v>2.0373520399530998E-2</v>
      </c>
      <c r="AS42" s="452">
        <v>2.1304897172542844E-2</v>
      </c>
      <c r="AT42" s="453">
        <v>2.1694517889220569E-2</v>
      </c>
    </row>
    <row r="43" spans="2:46" x14ac:dyDescent="0.3">
      <c r="B43" s="450" t="s">
        <v>302</v>
      </c>
      <c r="C43" s="451">
        <v>30</v>
      </c>
      <c r="D43" s="452">
        <v>1.5583337016118387E-2</v>
      </c>
      <c r="E43" s="452">
        <v>1.6270101483763705E-2</v>
      </c>
      <c r="F43" s="503">
        <v>1.5245857223636593E-2</v>
      </c>
      <c r="G43" s="486">
        <v>1.5902798101358903E-2</v>
      </c>
      <c r="H43" s="486">
        <v>1.6692728146034216E-2</v>
      </c>
      <c r="I43" s="452">
        <v>2.2243414040686076E-2</v>
      </c>
      <c r="J43" s="452">
        <v>2.1475045581689983E-2</v>
      </c>
      <c r="K43" s="452">
        <v>2.1703480902263782E-2</v>
      </c>
      <c r="L43" s="452">
        <v>2.0713297127243988E-2</v>
      </c>
      <c r="M43" s="452">
        <v>2.254484147150403E-2</v>
      </c>
      <c r="N43" s="452">
        <v>0.55732606107448479</v>
      </c>
      <c r="O43" s="452">
        <v>0.46475297765426121</v>
      </c>
      <c r="P43" s="452">
        <v>0.55270020518126761</v>
      </c>
      <c r="Q43" s="452">
        <v>0.44306682581847284</v>
      </c>
      <c r="R43" s="452">
        <v>0.48246944591268176</v>
      </c>
      <c r="S43" s="452">
        <v>0.42470813135596919</v>
      </c>
      <c r="T43" s="475">
        <v>0.39152310258210782</v>
      </c>
      <c r="U43" s="509">
        <v>0.41072868793222417</v>
      </c>
      <c r="V43" s="486">
        <v>0.37183699293552291</v>
      </c>
      <c r="W43" s="497">
        <v>0.4008848640335646</v>
      </c>
      <c r="Y43" s="450" t="s">
        <v>302</v>
      </c>
      <c r="Z43" s="451">
        <v>30</v>
      </c>
      <c r="AA43" s="452">
        <v>6.964371786197813E-3</v>
      </c>
      <c r="AB43" s="475">
        <v>8.6282009763844272E-3</v>
      </c>
      <c r="AC43" s="509">
        <v>6.6132330028729142E-3</v>
      </c>
      <c r="AD43" s="486">
        <v>8.7338329656785757E-3</v>
      </c>
      <c r="AE43" s="452">
        <v>8.4190071052849744E-3</v>
      </c>
      <c r="AF43" s="452">
        <v>9.2000277733144866E-3</v>
      </c>
      <c r="AG43" s="452">
        <v>1.0933512079352907E-2</v>
      </c>
      <c r="AH43" s="452">
        <v>9.0252727784998713E-3</v>
      </c>
      <c r="AI43" s="452">
        <v>1.1038184070524096E-2</v>
      </c>
      <c r="AJ43" s="452">
        <v>1.090239715958724E-2</v>
      </c>
      <c r="AK43" s="452">
        <v>5.3733354788866233E-2</v>
      </c>
      <c r="AL43" s="452">
        <v>4.9339779875032422E-2</v>
      </c>
      <c r="AM43" s="452">
        <v>5.4097807335604264E-2</v>
      </c>
      <c r="AN43" s="452">
        <v>4.8346287659638901E-2</v>
      </c>
      <c r="AO43" s="452">
        <v>5.0411923495205957E-2</v>
      </c>
      <c r="AP43" s="452">
        <v>1.6661266616885089E-2</v>
      </c>
      <c r="AQ43" s="452">
        <v>1.7878754289652216E-2</v>
      </c>
      <c r="AR43" s="448">
        <v>1.7803497934341567E-2</v>
      </c>
      <c r="AS43" s="452">
        <v>1.8522226180084842E-2</v>
      </c>
      <c r="AT43" s="453">
        <v>1.8893095132543048E-2</v>
      </c>
    </row>
    <row r="44" spans="2:46" x14ac:dyDescent="0.3">
      <c r="B44" s="450" t="s">
        <v>302</v>
      </c>
      <c r="C44" s="451">
        <v>35</v>
      </c>
      <c r="D44" s="452">
        <v>1.4697109415138096E-2</v>
      </c>
      <c r="E44" s="452">
        <v>1.4186747669091329E-2</v>
      </c>
      <c r="F44" s="503">
        <v>1.6049293076341956E-2</v>
      </c>
      <c r="G44" s="486">
        <v>1.3727762095560678E-2</v>
      </c>
      <c r="H44" s="486">
        <v>1.5492017249601458E-2</v>
      </c>
      <c r="I44" s="452">
        <v>2.0978426481057542E-2</v>
      </c>
      <c r="J44" s="452">
        <v>1.8725209129992117E-2</v>
      </c>
      <c r="K44" s="452">
        <v>2.2847224702930543E-2</v>
      </c>
      <c r="L44" s="452">
        <v>1.7880326051122303E-2</v>
      </c>
      <c r="M44" s="452">
        <v>2.0923187025546065E-2</v>
      </c>
      <c r="N44" s="452">
        <v>0.46195638323013116</v>
      </c>
      <c r="O44" s="452">
        <v>0.39564092601123529</v>
      </c>
      <c r="P44" s="452">
        <v>0.46367811073554116</v>
      </c>
      <c r="Q44" s="452">
        <v>0.37717927758183845</v>
      </c>
      <c r="R44" s="452">
        <v>0.40774656842221141</v>
      </c>
      <c r="S44" s="452">
        <v>0.33558376288387115</v>
      </c>
      <c r="T44" s="475">
        <v>0.30748445114985745</v>
      </c>
      <c r="U44" s="509">
        <v>0.32947137714819247</v>
      </c>
      <c r="V44" s="486">
        <v>0.29202356916847377</v>
      </c>
      <c r="W44" s="497">
        <v>0.3170584073419726</v>
      </c>
      <c r="Y44" s="450" t="s">
        <v>302</v>
      </c>
      <c r="Z44" s="451">
        <v>35</v>
      </c>
      <c r="AA44" s="452">
        <v>6.2273845294062626E-3</v>
      </c>
      <c r="AB44" s="475">
        <v>7.2867267602654906E-3</v>
      </c>
      <c r="AC44" s="509">
        <v>6.3392182414033346E-3</v>
      </c>
      <c r="AD44" s="486">
        <v>7.3369301148469897E-3</v>
      </c>
      <c r="AE44" s="452">
        <v>7.4125499823629029E-3</v>
      </c>
      <c r="AF44" s="452">
        <v>8.2264578032996017E-3</v>
      </c>
      <c r="AG44" s="452">
        <v>9.2336183719368622E-3</v>
      </c>
      <c r="AH44" s="452">
        <v>8.6513168077176263E-3</v>
      </c>
      <c r="AI44" s="452">
        <v>9.2727197140711898E-3</v>
      </c>
      <c r="AJ44" s="452">
        <v>9.5990611318383344E-3</v>
      </c>
      <c r="AK44" s="452">
        <v>4.4149094021967122E-2</v>
      </c>
      <c r="AL44" s="452">
        <v>4.1559245952107519E-2</v>
      </c>
      <c r="AM44" s="452">
        <v>4.4933487906638932E-2</v>
      </c>
      <c r="AN44" s="452">
        <v>4.072241098497615E-2</v>
      </c>
      <c r="AO44" s="452">
        <v>4.2175163170350451E-2</v>
      </c>
      <c r="AP44" s="452">
        <v>1.3139909772324465E-2</v>
      </c>
      <c r="AQ44" s="452">
        <v>1.4022794793995926E-2</v>
      </c>
      <c r="AR44" s="448">
        <v>1.4230913575220093E-2</v>
      </c>
      <c r="AS44" s="452">
        <v>1.4527469370380958E-2</v>
      </c>
      <c r="AT44" s="453">
        <v>1.4912685047569188E-2</v>
      </c>
    </row>
    <row r="45" spans="2:46" x14ac:dyDescent="0.3">
      <c r="B45" s="450" t="s">
        <v>302</v>
      </c>
      <c r="C45" s="451">
        <v>40</v>
      </c>
      <c r="D45" s="452">
        <v>1.3994147638144692E-2</v>
      </c>
      <c r="E45" s="452">
        <v>1.2634491249275299E-2</v>
      </c>
      <c r="F45" s="503">
        <v>1.6617194332497753E-2</v>
      </c>
      <c r="G45" s="486">
        <v>1.2071034035725726E-2</v>
      </c>
      <c r="H45" s="486">
        <v>1.4566614232645264E-2</v>
      </c>
      <c r="I45" s="452">
        <v>1.9975029721796829E-2</v>
      </c>
      <c r="J45" s="452">
        <v>1.6676372655106839E-2</v>
      </c>
      <c r="K45" s="452">
        <v>2.3655669507742172E-2</v>
      </c>
      <c r="L45" s="452">
        <v>1.5722447900140088E-2</v>
      </c>
      <c r="M45" s="452">
        <v>1.9673357511040646E-2</v>
      </c>
      <c r="N45" s="452">
        <v>0.41577386537329003</v>
      </c>
      <c r="O45" s="452">
        <v>0.35898131392027915</v>
      </c>
      <c r="P45" s="452">
        <v>0.42265042996429336</v>
      </c>
      <c r="Q45" s="452">
        <v>0.34222950011714937</v>
      </c>
      <c r="R45" s="452">
        <v>0.37027221299036989</v>
      </c>
      <c r="S45" s="452">
        <v>0.30501872075269115</v>
      </c>
      <c r="T45" s="475">
        <v>0.27806576329235566</v>
      </c>
      <c r="U45" s="509">
        <v>0.30317005300895394</v>
      </c>
      <c r="V45" s="486">
        <v>0.26408361539504477</v>
      </c>
      <c r="W45" s="497">
        <v>0.2884038421007476</v>
      </c>
      <c r="Y45" s="450" t="s">
        <v>302</v>
      </c>
      <c r="Z45" s="451">
        <v>40</v>
      </c>
      <c r="AA45" s="452">
        <v>5.6549128450588222E-3</v>
      </c>
      <c r="AB45" s="475">
        <v>6.2768221933753353E-3</v>
      </c>
      <c r="AC45" s="509">
        <v>6.1142349458742215E-3</v>
      </c>
      <c r="AD45" s="486">
        <v>6.2761649939885571E-3</v>
      </c>
      <c r="AE45" s="452">
        <v>6.6421165183408164E-3</v>
      </c>
      <c r="AF45" s="452">
        <v>7.4702150929563107E-3</v>
      </c>
      <c r="AG45" s="452">
        <v>7.9538841826998653E-3</v>
      </c>
      <c r="AH45" s="452">
        <v>8.3442755146202873E-3</v>
      </c>
      <c r="AI45" s="452">
        <v>7.9320803057335472E-3</v>
      </c>
      <c r="AJ45" s="452">
        <v>8.6013696576818909E-3</v>
      </c>
      <c r="AK45" s="452">
        <v>3.9300296900821798E-2</v>
      </c>
      <c r="AL45" s="452">
        <v>3.7138481614588249E-2</v>
      </c>
      <c r="AM45" s="452">
        <v>4.0426820259762887E-2</v>
      </c>
      <c r="AN45" s="452">
        <v>3.6390641062367585E-2</v>
      </c>
      <c r="AO45" s="452">
        <v>3.7760359932623958E-2</v>
      </c>
      <c r="AP45" s="452">
        <v>1.13747731365537E-2</v>
      </c>
      <c r="AQ45" s="452">
        <v>1.2071607216275185E-2</v>
      </c>
      <c r="AR45" s="448">
        <v>1.2484895369420943E-2</v>
      </c>
      <c r="AS45" s="452">
        <v>1.2506035349788698E-2</v>
      </c>
      <c r="AT45" s="453">
        <v>1.2920337014117956E-2</v>
      </c>
    </row>
    <row r="46" spans="2:46" x14ac:dyDescent="0.3">
      <c r="B46" s="450" t="s">
        <v>302</v>
      </c>
      <c r="C46" s="451">
        <v>45</v>
      </c>
      <c r="D46" s="452">
        <v>1.3350751042932337E-2</v>
      </c>
      <c r="E46" s="452">
        <v>1.1410206879714552E-2</v>
      </c>
      <c r="F46" s="503">
        <v>1.678308142694605E-2</v>
      </c>
      <c r="G46" s="486">
        <v>1.0797382249256401E-2</v>
      </c>
      <c r="H46" s="486">
        <v>1.3751798260073216E-2</v>
      </c>
      <c r="I46" s="452">
        <v>1.9056655380994641E-2</v>
      </c>
      <c r="J46" s="452">
        <v>1.506042928391739E-2</v>
      </c>
      <c r="K46" s="452">
        <v>2.3891820701701205E-2</v>
      </c>
      <c r="L46" s="452">
        <v>1.4063524248991557E-2</v>
      </c>
      <c r="M46" s="452">
        <v>1.8572884492527465E-2</v>
      </c>
      <c r="N46" s="452">
        <v>0.37876846639258022</v>
      </c>
      <c r="O46" s="452">
        <v>0.32993685692900221</v>
      </c>
      <c r="P46" s="452">
        <v>0.38886772332852115</v>
      </c>
      <c r="Q46" s="452">
        <v>0.31453975116795979</v>
      </c>
      <c r="R46" s="452">
        <v>0.3401745122381406</v>
      </c>
      <c r="S46" s="452">
        <v>0.28113230272792056</v>
      </c>
      <c r="T46" s="475">
        <v>0.25513285636901095</v>
      </c>
      <c r="U46" s="509">
        <v>0.28246509009026283</v>
      </c>
      <c r="V46" s="486">
        <v>0.24230348597811868</v>
      </c>
      <c r="W46" s="497">
        <v>0.2660015449514801</v>
      </c>
      <c r="Y46" s="450" t="s">
        <v>302</v>
      </c>
      <c r="Z46" s="451">
        <v>45</v>
      </c>
      <c r="AA46" s="452">
        <v>5.177898573906616E-3</v>
      </c>
      <c r="AB46" s="475">
        <v>5.4793637604295719E-3</v>
      </c>
      <c r="AC46" s="509">
        <v>5.8609770037094293E-3</v>
      </c>
      <c r="AD46" s="486">
        <v>5.4316481944220339E-3</v>
      </c>
      <c r="AE46" s="452">
        <v>5.9996399470643655E-3</v>
      </c>
      <c r="AF46" s="452">
        <v>6.8400728952687888E-3</v>
      </c>
      <c r="AG46" s="452">
        <v>6.9433581839130403E-3</v>
      </c>
      <c r="AH46" s="452">
        <v>7.9986469831038829E-3</v>
      </c>
      <c r="AI46" s="452">
        <v>6.8647445871667205E-3</v>
      </c>
      <c r="AJ46" s="452">
        <v>7.7693790609060917E-3</v>
      </c>
      <c r="AK46" s="452">
        <v>3.5452740672925226E-2</v>
      </c>
      <c r="AL46" s="452">
        <v>3.3648700568053046E-2</v>
      </c>
      <c r="AM46" s="452">
        <v>3.677271277754101E-2</v>
      </c>
      <c r="AN46" s="452">
        <v>3.2971116119516586E-2</v>
      </c>
      <c r="AO46" s="452">
        <v>3.4243904147059558E-2</v>
      </c>
      <c r="AP46" s="452">
        <v>9.9896737876071905E-3</v>
      </c>
      <c r="AQ46" s="452">
        <v>1.0544130560829292E-2</v>
      </c>
      <c r="AR46" s="448">
        <v>1.1106087036344329E-2</v>
      </c>
      <c r="AS46" s="452">
        <v>1.0923564970915551E-2</v>
      </c>
      <c r="AT46" s="453">
        <v>1.1356414255081002E-2</v>
      </c>
    </row>
    <row r="47" spans="2:46" x14ac:dyDescent="0.3">
      <c r="B47" s="450" t="s">
        <v>302</v>
      </c>
      <c r="C47" s="451">
        <v>50</v>
      </c>
      <c r="D47" s="452">
        <v>1.2418602488059649E-2</v>
      </c>
      <c r="E47" s="452">
        <v>1.046049195956089E-2</v>
      </c>
      <c r="F47" s="503">
        <v>1.6063685253510214E-2</v>
      </c>
      <c r="G47" s="486">
        <v>9.8195800292809748E-3</v>
      </c>
      <c r="H47" s="486">
        <v>1.2808515797426149E-2</v>
      </c>
      <c r="I47" s="452">
        <v>1.7726120962595401E-2</v>
      </c>
      <c r="J47" s="452">
        <v>1.380689246853466E-2</v>
      </c>
      <c r="K47" s="452">
        <v>2.286771291410367E-2</v>
      </c>
      <c r="L47" s="452">
        <v>1.2789942846213194E-2</v>
      </c>
      <c r="M47" s="452">
        <v>1.7298907381225838E-2</v>
      </c>
      <c r="N47" s="452">
        <v>0.34333266439335269</v>
      </c>
      <c r="O47" s="452">
        <v>0.30988396305078758</v>
      </c>
      <c r="P47" s="452">
        <v>0.35615717294839516</v>
      </c>
      <c r="Q47" s="452">
        <v>0.29542587024899342</v>
      </c>
      <c r="R47" s="452">
        <v>0.3158709953539342</v>
      </c>
      <c r="S47" s="452">
        <v>0.24583852768800377</v>
      </c>
      <c r="T47" s="475">
        <v>0.2217033073171461</v>
      </c>
      <c r="U47" s="509">
        <v>0.25067859001391596</v>
      </c>
      <c r="V47" s="486">
        <v>0.21055447578887865</v>
      </c>
      <c r="W47" s="497">
        <v>0.23282905382219038</v>
      </c>
      <c r="Y47" s="450" t="s">
        <v>302</v>
      </c>
      <c r="Z47" s="451">
        <v>50</v>
      </c>
      <c r="AA47" s="452">
        <v>4.6546276594702993E-3</v>
      </c>
      <c r="AB47" s="475">
        <v>4.8582508106157348E-3</v>
      </c>
      <c r="AC47" s="509">
        <v>5.419451207117917E-3</v>
      </c>
      <c r="AD47" s="486">
        <v>4.7347331798722643E-3</v>
      </c>
      <c r="AE47" s="452">
        <v>5.3750212647574345E-3</v>
      </c>
      <c r="AF47" s="452">
        <v>6.1488250564726869E-3</v>
      </c>
      <c r="AG47" s="452">
        <v>6.156294234195241E-3</v>
      </c>
      <c r="AH47" s="452">
        <v>7.3960837963460988E-3</v>
      </c>
      <c r="AI47" s="452">
        <v>5.9839541893720377E-3</v>
      </c>
      <c r="AJ47" s="452">
        <v>6.960513969969967E-3</v>
      </c>
      <c r="AK47" s="452">
        <v>3.2074150229600987E-2</v>
      </c>
      <c r="AL47" s="452">
        <v>3.1372090888808879E-2</v>
      </c>
      <c r="AM47" s="452">
        <v>3.3549116875948276E-2</v>
      </c>
      <c r="AN47" s="452">
        <v>3.0740401528428381E-2</v>
      </c>
      <c r="AO47" s="452">
        <v>3.161926759845677E-2</v>
      </c>
      <c r="AP47" s="452">
        <v>8.3702223241779086E-3</v>
      </c>
      <c r="AQ47" s="452">
        <v>8.7668005447444023E-3</v>
      </c>
      <c r="AR47" s="448">
        <v>9.4727999108703675E-3</v>
      </c>
      <c r="AS47" s="452">
        <v>9.0822543927962743E-3</v>
      </c>
      <c r="AT47" s="453">
        <v>9.5264625310054456E-3</v>
      </c>
    </row>
    <row r="48" spans="2:46" x14ac:dyDescent="0.3">
      <c r="B48" s="450" t="s">
        <v>302</v>
      </c>
      <c r="C48" s="451">
        <v>55</v>
      </c>
      <c r="D48" s="452">
        <v>1.1302761354549534E-2</v>
      </c>
      <c r="E48" s="452">
        <v>9.8410495653732995E-3</v>
      </c>
      <c r="F48" s="503">
        <v>1.4469186733025876E-2</v>
      </c>
      <c r="G48" s="486">
        <v>9.234450446579414E-3</v>
      </c>
      <c r="H48" s="486">
        <v>1.1804330007961163E-2</v>
      </c>
      <c r="I48" s="452">
        <v>1.6133386600845945E-2</v>
      </c>
      <c r="J48" s="452">
        <v>1.2989285174340177E-2</v>
      </c>
      <c r="K48" s="452">
        <v>2.0597839355641665E-2</v>
      </c>
      <c r="L48" s="452">
        <v>1.2027815148484196E-2</v>
      </c>
      <c r="M48" s="452">
        <v>1.5942675539829452E-2</v>
      </c>
      <c r="N48" s="452">
        <v>0.31401566965376698</v>
      </c>
      <c r="O48" s="452">
        <v>0.29345415295295751</v>
      </c>
      <c r="P48" s="452">
        <v>0.32834037457894111</v>
      </c>
      <c r="Q48" s="452">
        <v>0.27976541755626549</v>
      </c>
      <c r="R48" s="452">
        <v>0.29563785512992696</v>
      </c>
      <c r="S48" s="452">
        <v>0.20804673392508427</v>
      </c>
      <c r="T48" s="475">
        <v>0.18615357346415357</v>
      </c>
      <c r="U48" s="509">
        <v>0.21599978683008159</v>
      </c>
      <c r="V48" s="486">
        <v>0.17679187533164012</v>
      </c>
      <c r="W48" s="497">
        <v>0.19727058466211225</v>
      </c>
      <c r="Y48" s="450" t="s">
        <v>302</v>
      </c>
      <c r="Z48" s="451">
        <v>55</v>
      </c>
      <c r="AA48" s="452">
        <v>4.1302086348337843E-3</v>
      </c>
      <c r="AB48" s="475">
        <v>4.4448735769742802E-3</v>
      </c>
      <c r="AC48" s="509">
        <v>4.8149802978660347E-3</v>
      </c>
      <c r="AD48" s="486">
        <v>4.2898566061552847E-3</v>
      </c>
      <c r="AE48" s="452">
        <v>4.8328183880073736E-3</v>
      </c>
      <c r="AF48" s="452">
        <v>5.4560605488293556E-3</v>
      </c>
      <c r="AG48" s="452">
        <v>5.6324695122492909E-3</v>
      </c>
      <c r="AH48" s="452">
        <v>6.5711446417304814E-3</v>
      </c>
      <c r="AI48" s="452">
        <v>5.4217005341155831E-3</v>
      </c>
      <c r="AJ48" s="452">
        <v>6.2583752225529336E-3</v>
      </c>
      <c r="AK48" s="452">
        <v>2.9279108845761244E-2</v>
      </c>
      <c r="AL48" s="452">
        <v>2.9501952519017282E-2</v>
      </c>
      <c r="AM48" s="452">
        <v>3.0822001155096864E-2</v>
      </c>
      <c r="AN48" s="452">
        <v>2.8907962312934358E-2</v>
      </c>
      <c r="AO48" s="452">
        <v>2.9437249580819891E-2</v>
      </c>
      <c r="AP48" s="452">
        <v>6.7899106153563619E-3</v>
      </c>
      <c r="AQ48" s="452">
        <v>7.0421411866224649E-3</v>
      </c>
      <c r="AR48" s="448">
        <v>7.8552347562032866E-3</v>
      </c>
      <c r="AS48" s="452">
        <v>7.2955105031023183E-3</v>
      </c>
      <c r="AT48" s="453">
        <v>7.7391983740000263E-3</v>
      </c>
    </row>
    <row r="49" spans="1:70" x14ac:dyDescent="0.3">
      <c r="B49" s="450" t="s">
        <v>302</v>
      </c>
      <c r="C49" s="451">
        <v>60</v>
      </c>
      <c r="D49" s="452">
        <v>1.0554030504355213E-2</v>
      </c>
      <c r="E49" s="452">
        <v>9.3164251024329767E-3</v>
      </c>
      <c r="F49" s="503">
        <v>1.33074419582008E-2</v>
      </c>
      <c r="G49" s="486">
        <v>9.006332753485391E-3</v>
      </c>
      <c r="H49" s="486">
        <v>1.1158997571134732E-2</v>
      </c>
      <c r="I49" s="452">
        <v>1.5064659774962567E-2</v>
      </c>
      <c r="J49" s="452">
        <v>1.2296828875517703E-2</v>
      </c>
      <c r="K49" s="452">
        <v>1.8944019228385709E-2</v>
      </c>
      <c r="L49" s="452">
        <v>1.1730693250380352E-2</v>
      </c>
      <c r="M49" s="452">
        <v>1.5071103358374634E-2</v>
      </c>
      <c r="N49" s="452">
        <v>0.288188869188925</v>
      </c>
      <c r="O49" s="452">
        <v>0.26932585959874478</v>
      </c>
      <c r="P49" s="452">
        <v>0.30335416636298701</v>
      </c>
      <c r="Q49" s="452">
        <v>0.25676426722626833</v>
      </c>
      <c r="R49" s="452">
        <v>0.27192109030916695</v>
      </c>
      <c r="S49" s="452">
        <v>0.1877791087928157</v>
      </c>
      <c r="T49" s="475">
        <v>0.16732991525696692</v>
      </c>
      <c r="U49" s="509">
        <v>0.19676863681980122</v>
      </c>
      <c r="V49" s="486">
        <v>0.15891454739863412</v>
      </c>
      <c r="W49" s="497">
        <v>0.17816273014034795</v>
      </c>
      <c r="Y49" s="450" t="s">
        <v>302</v>
      </c>
      <c r="Z49" s="451">
        <v>60</v>
      </c>
      <c r="AA49" s="452">
        <v>3.7513849711297491E-3</v>
      </c>
      <c r="AB49" s="475">
        <v>4.0944494053319095E-3</v>
      </c>
      <c r="AC49" s="509">
        <v>4.3534110259789175E-3</v>
      </c>
      <c r="AD49" s="486">
        <v>4.0709853861622064E-3</v>
      </c>
      <c r="AE49" s="452">
        <v>4.4675130202747994E-3</v>
      </c>
      <c r="AF49" s="452">
        <v>4.9556294497641231E-3</v>
      </c>
      <c r="AG49" s="452">
        <v>5.1884178583720079E-3</v>
      </c>
      <c r="AH49" s="452">
        <v>5.9412275371698055E-3</v>
      </c>
      <c r="AI49" s="452">
        <v>5.1450819150604997E-3</v>
      </c>
      <c r="AJ49" s="452">
        <v>5.785314188900938E-3</v>
      </c>
      <c r="AK49" s="452">
        <v>2.6833130676480486E-2</v>
      </c>
      <c r="AL49" s="452">
        <v>2.7046786331150246E-2</v>
      </c>
      <c r="AM49" s="452">
        <v>2.8390919918628989E-2</v>
      </c>
      <c r="AN49" s="452">
        <v>2.6502255451490559E-2</v>
      </c>
      <c r="AO49" s="452">
        <v>2.7027971693726505E-2</v>
      </c>
      <c r="AP49" s="452">
        <v>5.9943092034586958E-3</v>
      </c>
      <c r="AQ49" s="452">
        <v>6.1870291468153586E-3</v>
      </c>
      <c r="AR49" s="448">
        <v>7.0085102010647984E-3</v>
      </c>
      <c r="AS49" s="452">
        <v>6.409618189847731E-3</v>
      </c>
      <c r="AT49" s="453">
        <v>6.8372597990496511E-3</v>
      </c>
    </row>
    <row r="50" spans="1:70" x14ac:dyDescent="0.3">
      <c r="B50" s="450" t="s">
        <v>302</v>
      </c>
      <c r="C50" s="451">
        <v>65</v>
      </c>
      <c r="D50" s="452">
        <v>1.0465640648272521E-2</v>
      </c>
      <c r="E50" s="452">
        <v>9.118522648034387E-3</v>
      </c>
      <c r="F50" s="503">
        <v>1.2687182206454267E-2</v>
      </c>
      <c r="G50" s="486">
        <v>8.9988454376676436E-3</v>
      </c>
      <c r="H50" s="486">
        <v>1.0908490561725957E-2</v>
      </c>
      <c r="I50" s="452">
        <v>1.4938493462586062E-2</v>
      </c>
      <c r="J50" s="452">
        <v>1.2035615739682062E-2</v>
      </c>
      <c r="K50" s="452">
        <v>1.8061038660024946E-2</v>
      </c>
      <c r="L50" s="452">
        <v>1.1720941067385256E-2</v>
      </c>
      <c r="M50" s="452">
        <v>1.4732773951388927E-2</v>
      </c>
      <c r="N50" s="452">
        <v>0.28214739817645795</v>
      </c>
      <c r="O50" s="452">
        <v>0.26385645831880666</v>
      </c>
      <c r="P50" s="452">
        <v>0.29651438523424678</v>
      </c>
      <c r="Q50" s="452">
        <v>0.25155493431000975</v>
      </c>
      <c r="R50" s="452">
        <v>0.26618690190912508</v>
      </c>
      <c r="S50" s="452">
        <v>0.18982442365030805</v>
      </c>
      <c r="T50" s="475">
        <v>0.16956338551434499</v>
      </c>
      <c r="U50" s="509">
        <v>0.19783281461515453</v>
      </c>
      <c r="V50" s="486">
        <v>0.16103533700857608</v>
      </c>
      <c r="W50" s="497">
        <v>0.18003785091936395</v>
      </c>
      <c r="Y50" s="450" t="s">
        <v>302</v>
      </c>
      <c r="Z50" s="451">
        <v>65</v>
      </c>
      <c r="AA50" s="452">
        <v>3.6237190525199802E-3</v>
      </c>
      <c r="AB50" s="475">
        <v>3.8917557537507743E-3</v>
      </c>
      <c r="AC50" s="509">
        <v>4.1080362002805159E-3</v>
      </c>
      <c r="AD50" s="486">
        <v>3.9528994673457387E-3</v>
      </c>
      <c r="AE50" s="452">
        <v>4.2767108175699375E-3</v>
      </c>
      <c r="AF50" s="452">
        <v>4.7869810730012266E-3</v>
      </c>
      <c r="AG50" s="452">
        <v>4.9315678505851999E-3</v>
      </c>
      <c r="AH50" s="452">
        <v>5.6063573255890429E-3</v>
      </c>
      <c r="AI50" s="452">
        <v>4.9958399827776945E-3</v>
      </c>
      <c r="AJ50" s="452">
        <v>5.5382302552733449E-3</v>
      </c>
      <c r="AK50" s="452">
        <v>2.5788847521780966E-2</v>
      </c>
      <c r="AL50" s="452">
        <v>2.599688212148436E-2</v>
      </c>
      <c r="AM50" s="452">
        <v>2.7279222687239819E-2</v>
      </c>
      <c r="AN50" s="452">
        <v>2.5473539377132422E-2</v>
      </c>
      <c r="AO50" s="452">
        <v>2.5975635891589469E-2</v>
      </c>
      <c r="AP50" s="452">
        <v>5.9241554693996012E-3</v>
      </c>
      <c r="AQ50" s="452">
        <v>6.1300912867877436E-3</v>
      </c>
      <c r="AR50" s="448">
        <v>6.8884928618556914E-3</v>
      </c>
      <c r="AS50" s="452">
        <v>6.3506217720549407E-3</v>
      </c>
      <c r="AT50" s="453">
        <v>6.7547286991454236E-3</v>
      </c>
    </row>
    <row r="51" spans="1:70" x14ac:dyDescent="0.3">
      <c r="B51" s="450" t="s">
        <v>302</v>
      </c>
      <c r="C51" s="451">
        <v>70</v>
      </c>
      <c r="D51" s="452">
        <v>1.091728132426477E-2</v>
      </c>
      <c r="E51" s="452">
        <v>9.5844255581863051E-3</v>
      </c>
      <c r="F51" s="503">
        <v>1.2598405343997778E-2</v>
      </c>
      <c r="G51" s="486">
        <v>9.4741719270200926E-3</v>
      </c>
      <c r="H51" s="486">
        <v>1.1222632314058024E-2</v>
      </c>
      <c r="I51" s="452">
        <v>1.5583158372503621E-2</v>
      </c>
      <c r="J51" s="452">
        <v>1.265056496062816E-2</v>
      </c>
      <c r="K51" s="452">
        <v>1.7934658954992674E-2</v>
      </c>
      <c r="L51" s="452">
        <v>1.2340050908537407E-2</v>
      </c>
      <c r="M51" s="452">
        <v>1.5157047080619124E-2</v>
      </c>
      <c r="N51" s="452">
        <v>0.27788983240255655</v>
      </c>
      <c r="O51" s="452">
        <v>0.26043198266788337</v>
      </c>
      <c r="P51" s="452">
        <v>0.29059786999019754</v>
      </c>
      <c r="Q51" s="452">
        <v>0.24829473214171277</v>
      </c>
      <c r="R51" s="452">
        <v>0.26208019063106164</v>
      </c>
      <c r="S51" s="452">
        <v>0.19135106499168977</v>
      </c>
      <c r="T51" s="475">
        <v>0.17147296340996548</v>
      </c>
      <c r="U51" s="509">
        <v>0.19799124550523772</v>
      </c>
      <c r="V51" s="486">
        <v>0.16284851944382181</v>
      </c>
      <c r="W51" s="497">
        <v>0.18139916758769462</v>
      </c>
      <c r="Y51" s="450" t="s">
        <v>302</v>
      </c>
      <c r="Z51" s="451">
        <v>70</v>
      </c>
      <c r="AA51" s="452">
        <v>3.6914024211532745E-3</v>
      </c>
      <c r="AB51" s="475">
        <v>3.964162116755798E-3</v>
      </c>
      <c r="AC51" s="509">
        <v>4.040693225421714E-3</v>
      </c>
      <c r="AD51" s="486">
        <v>4.030158591822092E-3</v>
      </c>
      <c r="AE51" s="452">
        <v>4.3032002457859889E-3</v>
      </c>
      <c r="AF51" s="452">
        <v>4.8763917033256797E-3</v>
      </c>
      <c r="AG51" s="452">
        <v>5.0233199837012698E-3</v>
      </c>
      <c r="AH51" s="452">
        <v>5.5144523953450444E-3</v>
      </c>
      <c r="AI51" s="452">
        <v>5.0934833016330902E-3</v>
      </c>
      <c r="AJ51" s="452">
        <v>5.5725333819164474E-3</v>
      </c>
      <c r="AK51" s="452">
        <v>2.4947664527576876E-2</v>
      </c>
      <c r="AL51" s="452">
        <v>2.5182195117344992E-2</v>
      </c>
      <c r="AM51" s="452">
        <v>2.6308736443431489E-2</v>
      </c>
      <c r="AN51" s="452">
        <v>2.4675295206650735E-2</v>
      </c>
      <c r="AO51" s="452">
        <v>2.5123279482594602E-2</v>
      </c>
      <c r="AP51" s="452">
        <v>5.8556093152109558E-3</v>
      </c>
      <c r="AQ51" s="452">
        <v>6.0779245484384606E-3</v>
      </c>
      <c r="AR51" s="448">
        <v>6.7626715339598326E-3</v>
      </c>
      <c r="AS51" s="452">
        <v>6.2965696207274617E-3</v>
      </c>
      <c r="AT51" s="453">
        <v>6.6735139479629016E-3</v>
      </c>
    </row>
    <row r="52" spans="1:70" ht="15" thickBot="1" x14ac:dyDescent="0.35">
      <c r="B52" s="454" t="s">
        <v>302</v>
      </c>
      <c r="C52" s="455">
        <v>75</v>
      </c>
      <c r="D52" s="456">
        <v>1.2113415986223014E-2</v>
      </c>
      <c r="E52" s="456">
        <v>1.0771984619313451E-2</v>
      </c>
      <c r="F52" s="504">
        <v>1.3221228098864484E-2</v>
      </c>
      <c r="G52" s="487">
        <v>1.0663545736083762E-2</v>
      </c>
      <c r="H52" s="487">
        <v>1.2297361570667803E-2</v>
      </c>
      <c r="I52" s="456">
        <v>1.7290502473887914E-2</v>
      </c>
      <c r="J52" s="456">
        <v>1.4218034284289376E-2</v>
      </c>
      <c r="K52" s="456">
        <v>1.8821288126935069E-2</v>
      </c>
      <c r="L52" s="456">
        <v>1.3889203010291916E-2</v>
      </c>
      <c r="M52" s="456">
        <v>1.6608553419372458E-2</v>
      </c>
      <c r="N52" s="456">
        <v>0.27840638331743894</v>
      </c>
      <c r="O52" s="456">
        <v>0.26141708735290614</v>
      </c>
      <c r="P52" s="456">
        <v>0.28983813611696513</v>
      </c>
      <c r="Q52" s="456">
        <v>0.24923839413136004</v>
      </c>
      <c r="R52" s="456">
        <v>0.26248571183456804</v>
      </c>
      <c r="S52" s="456">
        <v>0.19772229448320225</v>
      </c>
      <c r="T52" s="476">
        <v>0.17776334127695412</v>
      </c>
      <c r="U52" s="510">
        <v>0.20305810769385371</v>
      </c>
      <c r="V52" s="486">
        <v>0.16882215134171569</v>
      </c>
      <c r="W52" s="498">
        <v>0.1873466576169534</v>
      </c>
      <c r="Y52" s="454" t="s">
        <v>302</v>
      </c>
      <c r="Z52" s="455">
        <v>75</v>
      </c>
      <c r="AA52" s="456">
        <v>4.0506415294148087E-3</v>
      </c>
      <c r="AB52" s="476">
        <v>4.3580057572603827E-3</v>
      </c>
      <c r="AC52" s="510">
        <v>4.2432420119643405E-3</v>
      </c>
      <c r="AD52" s="487">
        <v>4.4340114861194258E-3</v>
      </c>
      <c r="AE52" s="456">
        <v>4.6558258182154179E-3</v>
      </c>
      <c r="AF52" s="456">
        <v>5.3509513441272819E-3</v>
      </c>
      <c r="AG52" s="456">
        <v>5.5223920628773449E-3</v>
      </c>
      <c r="AH52" s="456">
        <v>5.7908766569289326E-3</v>
      </c>
      <c r="AI52" s="456">
        <v>5.6038895118486684E-3</v>
      </c>
      <c r="AJ52" s="456">
        <v>6.0291744075356207E-3</v>
      </c>
      <c r="AK52" s="456">
        <v>2.450786470392266E-2</v>
      </c>
      <c r="AL52" s="456">
        <v>2.4767402197017098E-2</v>
      </c>
      <c r="AM52" s="456">
        <v>2.5774228647191789E-2</v>
      </c>
      <c r="AN52" s="456">
        <v>2.4268903032995899E-2</v>
      </c>
      <c r="AO52" s="456">
        <v>2.4675922306777249E-2</v>
      </c>
      <c r="AP52" s="456">
        <v>5.9211062211626695E-3</v>
      </c>
      <c r="AQ52" s="456">
        <v>6.1672976837011048E-3</v>
      </c>
      <c r="AR52" s="449">
        <v>6.7857226139267047E-3</v>
      </c>
      <c r="AS52" s="456">
        <v>6.3891497977333362E-3</v>
      </c>
      <c r="AT52" s="457">
        <v>6.7446682008234617E-3</v>
      </c>
    </row>
    <row r="53" spans="1:70" x14ac:dyDescent="0.3">
      <c r="B53" s="440" t="s">
        <v>62</v>
      </c>
      <c r="C53" s="536">
        <v>2.5</v>
      </c>
      <c r="D53" s="537">
        <v>2.4199003589286345</v>
      </c>
      <c r="E53" s="537">
        <v>2.3604397558040637</v>
      </c>
      <c r="F53" s="499">
        <v>2.3801712088466012</v>
      </c>
      <c r="G53" s="538">
        <v>2.2890602070906394</v>
      </c>
      <c r="H53" s="538">
        <v>2.4034609833416205</v>
      </c>
      <c r="I53" s="537">
        <v>4.1717110219481803</v>
      </c>
      <c r="J53" s="537">
        <v>3.9670145749999026</v>
      </c>
      <c r="K53" s="537">
        <v>4.035994163867203</v>
      </c>
      <c r="L53" s="537">
        <v>3.8182093511626807</v>
      </c>
      <c r="M53" s="537">
        <v>4.0408528221296294</v>
      </c>
      <c r="N53" s="537">
        <v>7.0363994736091016</v>
      </c>
      <c r="O53" s="537">
        <v>6.7921303822823091</v>
      </c>
      <c r="P53" s="537">
        <v>6.97946833834785</v>
      </c>
      <c r="Q53" s="537">
        <v>6.447232175296346</v>
      </c>
      <c r="R53" s="537">
        <v>6.5576583316743955</v>
      </c>
      <c r="S53" s="537">
        <v>3.7760263839038597</v>
      </c>
      <c r="T53" s="539">
        <v>3.7587059770702655</v>
      </c>
      <c r="U53" s="499">
        <v>3.7620089683463358</v>
      </c>
      <c r="V53" s="540">
        <v>3.7542834429067171</v>
      </c>
      <c r="W53" s="541">
        <v>3.764661805914062</v>
      </c>
      <c r="X53" s="542"/>
      <c r="Y53" s="440" t="s">
        <v>62</v>
      </c>
      <c r="Z53" s="536">
        <v>2.5</v>
      </c>
      <c r="AA53" s="537">
        <v>0.26934313716955111</v>
      </c>
      <c r="AB53" s="539">
        <v>0.25686402580870848</v>
      </c>
      <c r="AC53" s="505">
        <v>0.26237879547455228</v>
      </c>
      <c r="AD53" s="538">
        <v>0.24974511553607295</v>
      </c>
      <c r="AE53" s="537">
        <v>0.26314784090089122</v>
      </c>
      <c r="AF53" s="537">
        <v>0.38681197997065514</v>
      </c>
      <c r="AG53" s="537">
        <v>0.34987710962687452</v>
      </c>
      <c r="AH53" s="537">
        <v>0.36775529066567386</v>
      </c>
      <c r="AI53" s="537">
        <v>0.33682142933368181</v>
      </c>
      <c r="AJ53" s="537">
        <v>0.36082902953593504</v>
      </c>
      <c r="AK53" s="537">
        <v>0.96237924446367962</v>
      </c>
      <c r="AL53" s="537">
        <v>0.90417062590979425</v>
      </c>
      <c r="AM53" s="537">
        <v>0.94600519584370735</v>
      </c>
      <c r="AN53" s="537">
        <v>0.85838859687976299</v>
      </c>
      <c r="AO53" s="537">
        <v>0.87980191690134535</v>
      </c>
      <c r="AP53" s="537">
        <v>0.34198029882224079</v>
      </c>
      <c r="AQ53" s="537">
        <v>0.31833999037546606</v>
      </c>
      <c r="AR53" s="511">
        <v>0.32948648711905326</v>
      </c>
      <c r="AS53" s="537">
        <v>0.31677369914151515</v>
      </c>
      <c r="AT53" s="543">
        <v>0.32227108314814767</v>
      </c>
    </row>
    <row r="54" spans="1:70" s="430" customFormat="1" x14ac:dyDescent="0.3">
      <c r="A54" s="466"/>
      <c r="B54" s="441" t="s">
        <v>62</v>
      </c>
      <c r="C54" s="544">
        <v>5</v>
      </c>
      <c r="D54" s="545">
        <v>1.3036426109446067</v>
      </c>
      <c r="E54" s="545">
        <v>1.2717559165823233</v>
      </c>
      <c r="F54" s="500">
        <v>1.2781634177866399</v>
      </c>
      <c r="G54" s="540">
        <v>1.233166474327211</v>
      </c>
      <c r="H54" s="540">
        <v>1.2935368719322242</v>
      </c>
      <c r="I54" s="545">
        <v>2.2473736278822147</v>
      </c>
      <c r="J54" s="545">
        <v>2.1373450623000014</v>
      </c>
      <c r="K54" s="545">
        <v>2.1673483300200296</v>
      </c>
      <c r="L54" s="545">
        <v>2.0569523463084822</v>
      </c>
      <c r="M54" s="545">
        <v>2.1747771882732132</v>
      </c>
      <c r="N54" s="545">
        <v>3.8180029582577393</v>
      </c>
      <c r="O54" s="545">
        <v>3.5026977730378692</v>
      </c>
      <c r="P54" s="545">
        <v>3.8105101581156759</v>
      </c>
      <c r="Q54" s="545">
        <v>3.3248808358230737</v>
      </c>
      <c r="R54" s="545">
        <v>3.4609273247991434</v>
      </c>
      <c r="S54" s="545">
        <v>2.1058949694364424</v>
      </c>
      <c r="T54" s="546">
        <v>2.0924564086556958</v>
      </c>
      <c r="U54" s="500">
        <v>2.1074290161420701</v>
      </c>
      <c r="V54" s="540">
        <v>2.0900121632242246</v>
      </c>
      <c r="W54" s="547">
        <v>2.1001504119655703</v>
      </c>
      <c r="X54" s="542"/>
      <c r="Y54" s="441" t="s">
        <v>62</v>
      </c>
      <c r="Z54" s="544">
        <v>5</v>
      </c>
      <c r="AA54" s="545">
        <v>0.14372631953289078</v>
      </c>
      <c r="AB54" s="546">
        <v>0.1375407751462078</v>
      </c>
      <c r="AC54" s="506">
        <v>0.13964495476022248</v>
      </c>
      <c r="AD54" s="540">
        <v>0.13371190506096819</v>
      </c>
      <c r="AE54" s="545">
        <v>0.14059376636786167</v>
      </c>
      <c r="AF54" s="545">
        <v>0.20640979687340436</v>
      </c>
      <c r="AG54" s="545">
        <v>0.18734569277456034</v>
      </c>
      <c r="AH54" s="545">
        <v>0.19572912069726056</v>
      </c>
      <c r="AI54" s="545">
        <v>0.18033199522198368</v>
      </c>
      <c r="AJ54" s="545">
        <v>0.19278255182957763</v>
      </c>
      <c r="AK54" s="545">
        <v>0.52067282683240568</v>
      </c>
      <c r="AL54" s="545">
        <v>0.46479419748175915</v>
      </c>
      <c r="AM54" s="545">
        <v>0.51582594667943282</v>
      </c>
      <c r="AN54" s="545">
        <v>0.44126756361077918</v>
      </c>
      <c r="AO54" s="545">
        <v>0.46325532294970528</v>
      </c>
      <c r="AP54" s="545">
        <v>0.19206572700528365</v>
      </c>
      <c r="AQ54" s="545">
        <v>0.17838573864733293</v>
      </c>
      <c r="AR54" s="512">
        <v>0.18603603625233592</v>
      </c>
      <c r="AS54" s="545">
        <v>0.17751803367481325</v>
      </c>
      <c r="AT54" s="548">
        <v>0.18105088364910632</v>
      </c>
      <c r="AU54" s="466"/>
      <c r="AV54" s="466"/>
      <c r="AW54" s="466"/>
      <c r="AX54" s="466"/>
      <c r="AY54" s="466"/>
      <c r="AZ54" s="466"/>
      <c r="BA54" s="466"/>
      <c r="BB54" s="466"/>
      <c r="BC54" s="466"/>
      <c r="BD54" s="466"/>
      <c r="BE54" s="466"/>
      <c r="BF54" s="466"/>
      <c r="BG54" s="466"/>
      <c r="BH54" s="466"/>
      <c r="BI54" s="466"/>
      <c r="BJ54" s="466"/>
      <c r="BK54" s="466"/>
      <c r="BL54" s="466"/>
      <c r="BM54" s="466"/>
      <c r="BN54" s="466"/>
      <c r="BO54" s="466"/>
      <c r="BP54" s="466"/>
      <c r="BQ54" s="466"/>
      <c r="BR54" s="466"/>
    </row>
    <row r="55" spans="1:70" x14ac:dyDescent="0.3">
      <c r="B55" s="441" t="s">
        <v>62</v>
      </c>
      <c r="C55" s="544">
        <v>10</v>
      </c>
      <c r="D55" s="545">
        <v>0.7403921612558334</v>
      </c>
      <c r="E55" s="545">
        <v>0.7274129605926537</v>
      </c>
      <c r="F55" s="500">
        <v>0.71824357054286558</v>
      </c>
      <c r="G55" s="540">
        <v>0.70521890355351202</v>
      </c>
      <c r="H55" s="540">
        <v>0.73535615396002485</v>
      </c>
      <c r="I55" s="545">
        <v>1.2763757517034542</v>
      </c>
      <c r="J55" s="545">
        <v>1.222508564185707</v>
      </c>
      <c r="K55" s="545">
        <v>1.2179068666034656</v>
      </c>
      <c r="L55" s="545">
        <v>1.1763226689380351</v>
      </c>
      <c r="M55" s="545">
        <v>1.2363279498169419</v>
      </c>
      <c r="N55" s="545">
        <v>2.0766945335927578</v>
      </c>
      <c r="O55" s="545">
        <v>1.8872613814082191</v>
      </c>
      <c r="P55" s="545">
        <v>2.0686177021287007</v>
      </c>
      <c r="Q55" s="545">
        <v>1.7914393392982513</v>
      </c>
      <c r="R55" s="545">
        <v>1.8710126182992242</v>
      </c>
      <c r="S55" s="545">
        <v>1.1381457726857729</v>
      </c>
      <c r="T55" s="546">
        <v>1.1334274337584713</v>
      </c>
      <c r="U55" s="500">
        <v>1.1334191973477925</v>
      </c>
      <c r="V55" s="540">
        <v>1.1320814594851134</v>
      </c>
      <c r="W55" s="547">
        <v>1.1348661387898131</v>
      </c>
      <c r="X55" s="542"/>
      <c r="Y55" s="441" t="s">
        <v>62</v>
      </c>
      <c r="Z55" s="544">
        <v>10</v>
      </c>
      <c r="AA55" s="545">
        <v>8.0139424918688543E-2</v>
      </c>
      <c r="AB55" s="546">
        <v>7.7879096474185602E-2</v>
      </c>
      <c r="AC55" s="506">
        <v>7.7214045146367677E-2</v>
      </c>
      <c r="AD55" s="540">
        <v>7.5695242626371215E-2</v>
      </c>
      <c r="AE55" s="545">
        <v>7.8923122668978621E-2</v>
      </c>
      <c r="AF55" s="545">
        <v>0.1150906978817649</v>
      </c>
      <c r="AG55" s="545">
        <v>0.10607991169239384</v>
      </c>
      <c r="AH55" s="545">
        <v>0.10822472740190997</v>
      </c>
      <c r="AI55" s="545">
        <v>0.1020872010267268</v>
      </c>
      <c r="AJ55" s="545">
        <v>0.10821959877420625</v>
      </c>
      <c r="AK55" s="545">
        <v>0.28356361212606218</v>
      </c>
      <c r="AL55" s="545">
        <v>0.25282682561610331</v>
      </c>
      <c r="AM55" s="545">
        <v>0.28036447342563636</v>
      </c>
      <c r="AN55" s="545">
        <v>0.24002491840524193</v>
      </c>
      <c r="AO55" s="545">
        <v>0.25194808546845571</v>
      </c>
      <c r="AP55" s="545">
        <v>0.10715530138083869</v>
      </c>
      <c r="AQ55" s="545">
        <v>9.9844085650606942E-2</v>
      </c>
      <c r="AR55" s="512">
        <v>0.1030684218706739</v>
      </c>
      <c r="AS55" s="545">
        <v>9.9358070265949255E-2</v>
      </c>
      <c r="AT55" s="548">
        <v>0.10098928493928062</v>
      </c>
    </row>
    <row r="56" spans="1:70" x14ac:dyDescent="0.3">
      <c r="B56" s="441" t="s">
        <v>62</v>
      </c>
      <c r="C56" s="544">
        <v>15</v>
      </c>
      <c r="D56" s="545">
        <v>0.54767920024373418</v>
      </c>
      <c r="E56" s="545">
        <v>0.54596526001189549</v>
      </c>
      <c r="F56" s="500">
        <v>0.53107408292306468</v>
      </c>
      <c r="G56" s="540">
        <v>0.52923631860197218</v>
      </c>
      <c r="H56" s="540">
        <v>0.54872232981449154</v>
      </c>
      <c r="I56" s="545">
        <v>0.94415431103125436</v>
      </c>
      <c r="J56" s="545">
        <v>0.917562983162441</v>
      </c>
      <c r="K56" s="545">
        <v>0.90052845412632498</v>
      </c>
      <c r="L56" s="545">
        <v>0.88277934079736831</v>
      </c>
      <c r="M56" s="545">
        <v>0.92254718939253622</v>
      </c>
      <c r="N56" s="545">
        <v>1.5136370851987315</v>
      </c>
      <c r="O56" s="545">
        <v>1.2079265201028626</v>
      </c>
      <c r="P56" s="545">
        <v>1.5062476373080338</v>
      </c>
      <c r="Q56" s="545">
        <v>1.1466165707469049</v>
      </c>
      <c r="R56" s="545">
        <v>1.2675086884040385</v>
      </c>
      <c r="S56" s="545">
        <v>0.79931702824826556</v>
      </c>
      <c r="T56" s="546">
        <v>0.79601466883993843</v>
      </c>
      <c r="U56" s="500">
        <v>0.79631079292230933</v>
      </c>
      <c r="V56" s="540">
        <v>0.79502432044253701</v>
      </c>
      <c r="W56" s="547">
        <v>0.79709755987154141</v>
      </c>
      <c r="X56" s="542"/>
      <c r="Y56" s="441" t="s">
        <v>62</v>
      </c>
      <c r="Z56" s="544">
        <v>15</v>
      </c>
      <c r="AA56" s="545">
        <v>5.7849275814466562E-2</v>
      </c>
      <c r="AB56" s="546">
        <v>5.79918473295103E-2</v>
      </c>
      <c r="AC56" s="506">
        <v>5.5726939425270468E-2</v>
      </c>
      <c r="AD56" s="540">
        <v>5.6356349029479821E-2</v>
      </c>
      <c r="AE56" s="545">
        <v>5.8067517742533797E-2</v>
      </c>
      <c r="AF56" s="545">
        <v>8.3079127810025424E-2</v>
      </c>
      <c r="AG56" s="545">
        <v>7.8991286777862796E-2</v>
      </c>
      <c r="AH56" s="545">
        <v>7.8107976558023373E-2</v>
      </c>
      <c r="AI56" s="545">
        <v>7.6005594709601026E-2</v>
      </c>
      <c r="AJ56" s="545">
        <v>7.9622337021151679E-2</v>
      </c>
      <c r="AK56" s="545">
        <v>0.20735602506546799</v>
      </c>
      <c r="AL56" s="545">
        <v>0.1627991170599318</v>
      </c>
      <c r="AM56" s="545">
        <v>0.2046506093906294</v>
      </c>
      <c r="AN56" s="545">
        <v>0.15455966450487182</v>
      </c>
      <c r="AO56" s="545">
        <v>0.17149134850359254</v>
      </c>
      <c r="AP56" s="545">
        <v>7.920579996333374E-2</v>
      </c>
      <c r="AQ56" s="545">
        <v>7.384157574187869E-2</v>
      </c>
      <c r="AR56" s="512">
        <v>7.613783388214794E-2</v>
      </c>
      <c r="AS56" s="545">
        <v>7.3474452738897217E-2</v>
      </c>
      <c r="AT56" s="548">
        <v>7.4655065084439601E-2</v>
      </c>
    </row>
    <row r="57" spans="1:70" x14ac:dyDescent="0.3">
      <c r="B57" s="441" t="s">
        <v>62</v>
      </c>
      <c r="C57" s="544">
        <v>20</v>
      </c>
      <c r="D57" s="545">
        <v>0.42655605308013095</v>
      </c>
      <c r="E57" s="545">
        <v>0.45137606785568513</v>
      </c>
      <c r="F57" s="500">
        <v>0.41555712462646105</v>
      </c>
      <c r="G57" s="540">
        <v>0.43749163892983761</v>
      </c>
      <c r="H57" s="540">
        <v>0.44410053963596896</v>
      </c>
      <c r="I57" s="545">
        <v>0.73534787560464743</v>
      </c>
      <c r="J57" s="545">
        <v>0.75859400164173652</v>
      </c>
      <c r="K57" s="545">
        <v>0.70464936451297322</v>
      </c>
      <c r="L57" s="545">
        <v>0.72974693354199271</v>
      </c>
      <c r="M57" s="545">
        <v>0.74665032273678711</v>
      </c>
      <c r="N57" s="545">
        <v>1.2103080993117319</v>
      </c>
      <c r="O57" s="545">
        <v>0.9915508106367652</v>
      </c>
      <c r="P57" s="545">
        <v>1.2057830987150824</v>
      </c>
      <c r="Q57" s="545">
        <v>0.94119176732974064</v>
      </c>
      <c r="R57" s="545">
        <v>1.0285841247308418</v>
      </c>
      <c r="S57" s="545">
        <v>0.62126017265923805</v>
      </c>
      <c r="T57" s="546">
        <v>0.61807037025010303</v>
      </c>
      <c r="U57" s="500">
        <v>0.6205958470324745</v>
      </c>
      <c r="V57" s="540">
        <v>0.61728089502545935</v>
      </c>
      <c r="W57" s="547">
        <v>0.6196629193584906</v>
      </c>
      <c r="X57" s="542"/>
      <c r="Y57" s="441" t="s">
        <v>62</v>
      </c>
      <c r="Z57" s="544">
        <v>20</v>
      </c>
      <c r="AA57" s="545">
        <v>4.550715838814276E-2</v>
      </c>
      <c r="AB57" s="546">
        <v>4.7635314022983696E-2</v>
      </c>
      <c r="AC57" s="506">
        <v>4.3967427314651641E-2</v>
      </c>
      <c r="AD57" s="540">
        <v>4.6285317786713104E-2</v>
      </c>
      <c r="AE57" s="545">
        <v>4.6970282736524926E-2</v>
      </c>
      <c r="AF57" s="545">
        <v>6.5354232611743973E-2</v>
      </c>
      <c r="AG57" s="545">
        <v>6.4884547121993333E-2</v>
      </c>
      <c r="AH57" s="545">
        <v>6.1625612628783605E-2</v>
      </c>
      <c r="AI57" s="545">
        <v>6.2423190382006097E-2</v>
      </c>
      <c r="AJ57" s="545">
        <v>6.4405778435521921E-2</v>
      </c>
      <c r="AK57" s="545">
        <v>0.16594215820839331</v>
      </c>
      <c r="AL57" s="545">
        <v>0.1342462839710229</v>
      </c>
      <c r="AM57" s="545">
        <v>0.1638843149835533</v>
      </c>
      <c r="AN57" s="545">
        <v>0.12744382848171237</v>
      </c>
      <c r="AO57" s="545">
        <v>0.13953688111247442</v>
      </c>
      <c r="AP57" s="545">
        <v>6.3403799238559905E-2</v>
      </c>
      <c r="AQ57" s="545">
        <v>5.9020211762125928E-2</v>
      </c>
      <c r="AR57" s="512">
        <v>6.1198794215419988E-2</v>
      </c>
      <c r="AS57" s="545">
        <v>5.8723987868451878E-2</v>
      </c>
      <c r="AT57" s="548">
        <v>5.9780322121419163E-2</v>
      </c>
    </row>
    <row r="58" spans="1:70" x14ac:dyDescent="0.3">
      <c r="B58" s="441" t="s">
        <v>62</v>
      </c>
      <c r="C58" s="544">
        <v>25</v>
      </c>
      <c r="D58" s="545">
        <v>0.36418569711764598</v>
      </c>
      <c r="E58" s="545">
        <v>0.38684133008466565</v>
      </c>
      <c r="F58" s="500">
        <v>0.35577960900557132</v>
      </c>
      <c r="G58" s="540">
        <v>0.37488889234782313</v>
      </c>
      <c r="H58" s="540">
        <v>0.38035378761422883</v>
      </c>
      <c r="I58" s="545">
        <v>0.62782646446409762</v>
      </c>
      <c r="J58" s="545">
        <v>0.65013529402086623</v>
      </c>
      <c r="K58" s="545">
        <v>0.60328619228415548</v>
      </c>
      <c r="L58" s="545">
        <v>0.62532399540017802</v>
      </c>
      <c r="M58" s="545">
        <v>0.63947519295768496</v>
      </c>
      <c r="N58" s="545">
        <v>0.99869103049156394</v>
      </c>
      <c r="O58" s="545">
        <v>0.85313247767343159</v>
      </c>
      <c r="P58" s="545">
        <v>0.99733338399748306</v>
      </c>
      <c r="Q58" s="545">
        <v>0.80977803585711849</v>
      </c>
      <c r="R58" s="545">
        <v>0.86941435530005995</v>
      </c>
      <c r="S58" s="545">
        <v>0.52881902748698406</v>
      </c>
      <c r="T58" s="546">
        <v>0.5259887531629982</v>
      </c>
      <c r="U58" s="500">
        <v>0.52860954570851937</v>
      </c>
      <c r="V58" s="540">
        <v>0.52529784015020264</v>
      </c>
      <c r="W58" s="547">
        <v>0.52749086303211812</v>
      </c>
      <c r="X58" s="542"/>
      <c r="Y58" s="441" t="s">
        <v>62</v>
      </c>
      <c r="Z58" s="544">
        <v>25</v>
      </c>
      <c r="AA58" s="545">
        <v>3.884966600103406E-2</v>
      </c>
      <c r="AB58" s="546">
        <v>4.0590025626788213E-2</v>
      </c>
      <c r="AC58" s="506">
        <v>3.7605872800469481E-2</v>
      </c>
      <c r="AD58" s="540">
        <v>3.9434135111416635E-2</v>
      </c>
      <c r="AE58" s="545">
        <v>4.0070588858971717E-2</v>
      </c>
      <c r="AF58" s="545">
        <v>5.5793202622418513E-2</v>
      </c>
      <c r="AG58" s="545">
        <v>5.5288087933954469E-2</v>
      </c>
      <c r="AH58" s="545">
        <v>5.2709132448983807E-2</v>
      </c>
      <c r="AI58" s="545">
        <v>5.3183269367469969E-2</v>
      </c>
      <c r="AJ58" s="545">
        <v>5.4944899572106833E-2</v>
      </c>
      <c r="AK58" s="545">
        <v>0.13712947591111879</v>
      </c>
      <c r="AL58" s="545">
        <v>0.1157511258257965</v>
      </c>
      <c r="AM58" s="545">
        <v>0.1357169515967879</v>
      </c>
      <c r="AN58" s="545">
        <v>0.10987924452190738</v>
      </c>
      <c r="AO58" s="545">
        <v>0.11814820162902713</v>
      </c>
      <c r="AP58" s="545">
        <v>5.5241637737464003E-2</v>
      </c>
      <c r="AQ58" s="545">
        <v>5.1367079977209337E-2</v>
      </c>
      <c r="AR58" s="512">
        <v>5.347298416709851E-2</v>
      </c>
      <c r="AS58" s="545">
        <v>5.1105893876625348E-2</v>
      </c>
      <c r="AT58" s="548">
        <v>5.2095117320182092E-2</v>
      </c>
    </row>
    <row r="59" spans="1:70" x14ac:dyDescent="0.3">
      <c r="B59" s="441" t="s">
        <v>62</v>
      </c>
      <c r="C59" s="544">
        <v>30</v>
      </c>
      <c r="D59" s="545">
        <v>0.32509144799941525</v>
      </c>
      <c r="E59" s="545">
        <v>0.33653564364526223</v>
      </c>
      <c r="F59" s="500">
        <v>0.32049321607706516</v>
      </c>
      <c r="G59" s="540">
        <v>0.32607145039378416</v>
      </c>
      <c r="H59" s="540">
        <v>0.33498528748632445</v>
      </c>
      <c r="I59" s="545">
        <v>0.5604311647611312</v>
      </c>
      <c r="J59" s="545">
        <v>0.56559028887096408</v>
      </c>
      <c r="K59" s="545">
        <v>0.54345197725204075</v>
      </c>
      <c r="L59" s="545">
        <v>0.54389528819913069</v>
      </c>
      <c r="M59" s="545">
        <v>0.5631987594943284</v>
      </c>
      <c r="N59" s="545">
        <v>0.87758980365464689</v>
      </c>
      <c r="O59" s="545">
        <v>0.7697720442576591</v>
      </c>
      <c r="P59" s="545">
        <v>0.87696383224623009</v>
      </c>
      <c r="Q59" s="545">
        <v>0.73063614090585605</v>
      </c>
      <c r="R59" s="545">
        <v>0.77562979448531522</v>
      </c>
      <c r="S59" s="545">
        <v>0.46562050725432685</v>
      </c>
      <c r="T59" s="546">
        <v>0.46318230342382183</v>
      </c>
      <c r="U59" s="500">
        <v>0.46537424749722905</v>
      </c>
      <c r="V59" s="540">
        <v>0.46256429226321666</v>
      </c>
      <c r="W59" s="547">
        <v>0.46446055127408248</v>
      </c>
      <c r="X59" s="542"/>
      <c r="Y59" s="441" t="s">
        <v>62</v>
      </c>
      <c r="Z59" s="544">
        <v>30</v>
      </c>
      <c r="AA59" s="545">
        <v>3.4714204691313248E-2</v>
      </c>
      <c r="AB59" s="546">
        <v>3.5676694182368129E-2</v>
      </c>
      <c r="AC59" s="506">
        <v>3.4129392959087949E-2</v>
      </c>
      <c r="AD59" s="540">
        <v>3.4655440909862549E-2</v>
      </c>
      <c r="AE59" s="545">
        <v>3.5597832976314366E-2</v>
      </c>
      <c r="AF59" s="545">
        <v>4.9854139187889009E-2</v>
      </c>
      <c r="AG59" s="545">
        <v>4.8595589056385849E-2</v>
      </c>
      <c r="AH59" s="545">
        <v>4.7836429789272807E-2</v>
      </c>
      <c r="AI59" s="545">
        <v>4.6738432166705819E-2</v>
      </c>
      <c r="AJ59" s="545">
        <v>4.881184463627615E-2</v>
      </c>
      <c r="AK59" s="545">
        <v>0.12094953371730741</v>
      </c>
      <c r="AL59" s="545">
        <v>0.10482841554753003</v>
      </c>
      <c r="AM59" s="545">
        <v>0.11976769436251321</v>
      </c>
      <c r="AN59" s="545">
        <v>9.950617509823613E-2</v>
      </c>
      <c r="AO59" s="545">
        <v>0.10579030076035728</v>
      </c>
      <c r="AP59" s="545">
        <v>4.9987877452673586E-2</v>
      </c>
      <c r="AQ59" s="545">
        <v>4.6460798313458763E-2</v>
      </c>
      <c r="AR59" s="512">
        <v>4.8451938754857898E-2</v>
      </c>
      <c r="AS59" s="545">
        <v>4.6223895943044817E-2</v>
      </c>
      <c r="AT59" s="548">
        <v>4.7146851966431938E-2</v>
      </c>
    </row>
    <row r="60" spans="1:70" x14ac:dyDescent="0.3">
      <c r="B60" s="441" t="s">
        <v>62</v>
      </c>
      <c r="C60" s="544">
        <v>35</v>
      </c>
      <c r="D60" s="545">
        <v>0.30073303422282172</v>
      </c>
      <c r="E60" s="545">
        <v>0.30321058529193906</v>
      </c>
      <c r="F60" s="500">
        <v>0.30219664502929461</v>
      </c>
      <c r="G60" s="540">
        <v>0.2919796620248194</v>
      </c>
      <c r="H60" s="540">
        <v>0.30584595752946209</v>
      </c>
      <c r="I60" s="545">
        <v>0.51843924436901301</v>
      </c>
      <c r="J60" s="545">
        <v>0.50958335546997935</v>
      </c>
      <c r="K60" s="545">
        <v>0.51242695951671247</v>
      </c>
      <c r="L60" s="545">
        <v>0.48702933738445808</v>
      </c>
      <c r="M60" s="545">
        <v>0.51420784825954535</v>
      </c>
      <c r="N60" s="545">
        <v>0.78398228562378269</v>
      </c>
      <c r="O60" s="545">
        <v>0.69117966255400354</v>
      </c>
      <c r="P60" s="545">
        <v>0.78365024327780364</v>
      </c>
      <c r="Q60" s="545">
        <v>0.65604218132624481</v>
      </c>
      <c r="R60" s="545">
        <v>0.69497550716862178</v>
      </c>
      <c r="S60" s="545">
        <v>0.41660506979189477</v>
      </c>
      <c r="T60" s="546">
        <v>0.41430799560360398</v>
      </c>
      <c r="U60" s="500">
        <v>0.41662174764334847</v>
      </c>
      <c r="V60" s="540">
        <v>0.41376598045980728</v>
      </c>
      <c r="W60" s="547">
        <v>0.41557478197798564</v>
      </c>
      <c r="X60" s="542"/>
      <c r="Y60" s="441" t="s">
        <v>62</v>
      </c>
      <c r="Z60" s="544">
        <v>35</v>
      </c>
      <c r="AA60" s="545">
        <v>3.2562255382490565E-2</v>
      </c>
      <c r="AB60" s="546">
        <v>3.2358533971999039E-2</v>
      </c>
      <c r="AC60" s="506">
        <v>3.3058490260470114E-2</v>
      </c>
      <c r="AD60" s="540">
        <v>3.12049961747141E-2</v>
      </c>
      <c r="AE60" s="545">
        <v>3.2922792054045795E-2</v>
      </c>
      <c r="AF60" s="545">
        <v>4.676365846619833E-2</v>
      </c>
      <c r="AG60" s="545">
        <v>4.4075889187835872E-2</v>
      </c>
      <c r="AH60" s="545">
        <v>4.6335431461673376E-2</v>
      </c>
      <c r="AI60" s="545">
        <v>4.2084952858271803E-2</v>
      </c>
      <c r="AJ60" s="545">
        <v>4.5143821305183671E-2</v>
      </c>
      <c r="AK60" s="545">
        <v>0.1082426560402972</v>
      </c>
      <c r="AL60" s="545">
        <v>9.4128805824254216E-2</v>
      </c>
      <c r="AM60" s="545">
        <v>0.1072657300547351</v>
      </c>
      <c r="AN60" s="545">
        <v>8.9350301171411392E-2</v>
      </c>
      <c r="AO60" s="545">
        <v>9.4880111759419308E-2</v>
      </c>
      <c r="AP60" s="545">
        <v>4.3475710778547498E-2</v>
      </c>
      <c r="AQ60" s="545">
        <v>4.0310210699121607E-2</v>
      </c>
      <c r="AR60" s="512">
        <v>4.238472491627622E-2</v>
      </c>
      <c r="AS60" s="545">
        <v>4.010651269513154E-2</v>
      </c>
      <c r="AT60" s="548">
        <v>4.1019269394897341E-2</v>
      </c>
    </row>
    <row r="61" spans="1:70" x14ac:dyDescent="0.3">
      <c r="B61" s="441" t="s">
        <v>62</v>
      </c>
      <c r="C61" s="544">
        <v>40</v>
      </c>
      <c r="D61" s="545">
        <v>0.28244429837862062</v>
      </c>
      <c r="E61" s="545">
        <v>0.27891925298146253</v>
      </c>
      <c r="F61" s="500">
        <v>0.28790382784681356</v>
      </c>
      <c r="G61" s="540">
        <v>0.26669830608585388</v>
      </c>
      <c r="H61" s="540">
        <v>0.2840638696548663</v>
      </c>
      <c r="I61" s="545">
        <v>0.48691095411638013</v>
      </c>
      <c r="J61" s="545">
        <v>0.46875872985313061</v>
      </c>
      <c r="K61" s="545">
        <v>0.48819100265810139</v>
      </c>
      <c r="L61" s="545">
        <v>0.44485940696619353</v>
      </c>
      <c r="M61" s="545">
        <v>0.47758640448742268</v>
      </c>
      <c r="N61" s="545">
        <v>0.71636394263337766</v>
      </c>
      <c r="O61" s="545">
        <v>0.63168919216547303</v>
      </c>
      <c r="P61" s="545">
        <v>0.71688582450133664</v>
      </c>
      <c r="Q61" s="545">
        <v>0.59957375055787943</v>
      </c>
      <c r="R61" s="545">
        <v>0.6353533395177503</v>
      </c>
      <c r="S61" s="545">
        <v>0.38260113401628426</v>
      </c>
      <c r="T61" s="546">
        <v>0.38042208009395118</v>
      </c>
      <c r="U61" s="500">
        <v>0.38281989681949835</v>
      </c>
      <c r="V61" s="540">
        <v>0.37991880044530879</v>
      </c>
      <c r="W61" s="547">
        <v>0.38167298480026185</v>
      </c>
      <c r="X61" s="542"/>
      <c r="Y61" s="441" t="s">
        <v>62</v>
      </c>
      <c r="Z61" s="544">
        <v>40</v>
      </c>
      <c r="AA61" s="545">
        <v>3.094963404596851E-2</v>
      </c>
      <c r="AB61" s="546">
        <v>2.9916441721367527E-2</v>
      </c>
      <c r="AC61" s="506">
        <v>3.2134828358238041E-2</v>
      </c>
      <c r="AD61" s="540">
        <v>2.8612169310005441E-2</v>
      </c>
      <c r="AE61" s="545">
        <v>3.0884926779969901E-2</v>
      </c>
      <c r="AF61" s="545">
        <v>4.4447723266667516E-2</v>
      </c>
      <c r="AG61" s="545">
        <v>4.0749490423341486E-2</v>
      </c>
      <c r="AH61" s="545">
        <v>4.5040808736091467E-2</v>
      </c>
      <c r="AI61" s="545">
        <v>3.8588109091332153E-2</v>
      </c>
      <c r="AJ61" s="545">
        <v>4.2349494942282878E-2</v>
      </c>
      <c r="AK61" s="545">
        <v>9.8849827034573942E-2</v>
      </c>
      <c r="AL61" s="545">
        <v>8.6173658448610302E-2</v>
      </c>
      <c r="AM61" s="545">
        <v>9.8143005070511796E-2</v>
      </c>
      <c r="AN61" s="545">
        <v>8.1797994313226222E-2</v>
      </c>
      <c r="AO61" s="545">
        <v>8.6824234472941325E-2</v>
      </c>
      <c r="AP61" s="545">
        <v>4.0138624501483554E-2</v>
      </c>
      <c r="AQ61" s="545">
        <v>3.7162563786946858E-2</v>
      </c>
      <c r="AR61" s="512">
        <v>3.9274114064591921E-2</v>
      </c>
      <c r="AS61" s="545">
        <v>3.6974080706347848E-2</v>
      </c>
      <c r="AT61" s="548">
        <v>3.7880557396658826E-2</v>
      </c>
    </row>
    <row r="62" spans="1:70" x14ac:dyDescent="0.3">
      <c r="B62" s="441" t="s">
        <v>62</v>
      </c>
      <c r="C62" s="544">
        <v>45</v>
      </c>
      <c r="D62" s="545">
        <v>0.26794465240059961</v>
      </c>
      <c r="E62" s="545">
        <v>0.26002593346502767</v>
      </c>
      <c r="F62" s="500">
        <v>0.27585590849864899</v>
      </c>
      <c r="G62" s="540">
        <v>0.24807830853736926</v>
      </c>
      <c r="H62" s="540">
        <v>0.26728663224638705</v>
      </c>
      <c r="I62" s="545">
        <v>0.46191474602141669</v>
      </c>
      <c r="J62" s="545">
        <v>0.43700614065548932</v>
      </c>
      <c r="K62" s="545">
        <v>0.46776166043464928</v>
      </c>
      <c r="L62" s="545">
        <v>0.41380078800194581</v>
      </c>
      <c r="M62" s="545">
        <v>0.44937943645279477</v>
      </c>
      <c r="N62" s="545">
        <v>0.66337295010709318</v>
      </c>
      <c r="O62" s="545">
        <v>0.58536311126217666</v>
      </c>
      <c r="P62" s="545">
        <v>0.66463398674084673</v>
      </c>
      <c r="Q62" s="545">
        <v>0.55560096584107832</v>
      </c>
      <c r="R62" s="545">
        <v>0.58881861481272735</v>
      </c>
      <c r="S62" s="545">
        <v>0.35626486001433494</v>
      </c>
      <c r="T62" s="546">
        <v>0.35402744811503783</v>
      </c>
      <c r="U62" s="500">
        <v>0.35701232501338603</v>
      </c>
      <c r="V62" s="540">
        <v>0.35355442577132623</v>
      </c>
      <c r="W62" s="547">
        <v>0.35543954799575467</v>
      </c>
      <c r="X62" s="542"/>
      <c r="Y62" s="441" t="s">
        <v>62</v>
      </c>
      <c r="Z62" s="544">
        <v>45</v>
      </c>
      <c r="AA62" s="545">
        <v>2.9657032412855694E-2</v>
      </c>
      <c r="AB62" s="546">
        <v>2.8017028951781629E-2</v>
      </c>
      <c r="AC62" s="506">
        <v>3.1287524654783606E-2</v>
      </c>
      <c r="AD62" s="540">
        <v>2.6733878170577461E-2</v>
      </c>
      <c r="AE62" s="545">
        <v>2.9320639971958554E-2</v>
      </c>
      <c r="AF62" s="545">
        <v>4.2591378225646757E-2</v>
      </c>
      <c r="AG62" s="545">
        <v>3.816228091543631E-2</v>
      </c>
      <c r="AH62" s="545">
        <v>4.3853211166774125E-2</v>
      </c>
      <c r="AI62" s="545">
        <v>3.6054931595832576E-2</v>
      </c>
      <c r="AJ62" s="545">
        <v>4.0204540649980004E-2</v>
      </c>
      <c r="AK62" s="545">
        <v>9.1487672263303399E-2</v>
      </c>
      <c r="AL62" s="545">
        <v>7.9971071882074432E-2</v>
      </c>
      <c r="AM62" s="545">
        <v>9.1014637867256332E-2</v>
      </c>
      <c r="AN62" s="545">
        <v>7.5909499106376122E-2</v>
      </c>
      <c r="AO62" s="545">
        <v>8.0535377089996918E-2</v>
      </c>
      <c r="AP62" s="545">
        <v>3.7551044350664704E-2</v>
      </c>
      <c r="AQ62" s="545">
        <v>3.4710181018937067E-2</v>
      </c>
      <c r="AR62" s="512">
        <v>3.6891901685799366E-2</v>
      </c>
      <c r="AS62" s="545">
        <v>3.4533549574658491E-2</v>
      </c>
      <c r="AT62" s="548">
        <v>3.544857921185085E-2</v>
      </c>
    </row>
    <row r="63" spans="1:70" x14ac:dyDescent="0.3">
      <c r="B63" s="441" t="s">
        <v>62</v>
      </c>
      <c r="C63" s="544">
        <v>50</v>
      </c>
      <c r="D63" s="545">
        <v>0.25428071543768621</v>
      </c>
      <c r="E63" s="545">
        <v>0.24573410498250478</v>
      </c>
      <c r="F63" s="500">
        <v>0.263012711602093</v>
      </c>
      <c r="G63" s="540">
        <v>0.23495095085498496</v>
      </c>
      <c r="H63" s="540">
        <v>0.25364383050638672</v>
      </c>
      <c r="I63" s="545">
        <v>0.43835923216685968</v>
      </c>
      <c r="J63" s="545">
        <v>0.41298693332170422</v>
      </c>
      <c r="K63" s="545">
        <v>0.44598378683999473</v>
      </c>
      <c r="L63" s="545">
        <v>0.39190402892864801</v>
      </c>
      <c r="M63" s="545">
        <v>0.42644228278359397</v>
      </c>
      <c r="N63" s="545">
        <v>0.61748267843987559</v>
      </c>
      <c r="O63" s="545">
        <v>0.59210804312445653</v>
      </c>
      <c r="P63" s="545">
        <v>0.61932766041373433</v>
      </c>
      <c r="Q63" s="545">
        <v>0.56198896665189846</v>
      </c>
      <c r="R63" s="545">
        <v>0.57526754282281767</v>
      </c>
      <c r="S63" s="545">
        <v>0.33409909820427763</v>
      </c>
      <c r="T63" s="546">
        <v>0.33190079316843896</v>
      </c>
      <c r="U63" s="500">
        <v>0.33505655775886473</v>
      </c>
      <c r="V63" s="540">
        <v>0.33145715873427595</v>
      </c>
      <c r="W63" s="547">
        <v>0.3333432934979792</v>
      </c>
      <c r="X63" s="542"/>
      <c r="Y63" s="441" t="s">
        <v>62</v>
      </c>
      <c r="Z63" s="544">
        <v>50</v>
      </c>
      <c r="AA63" s="545">
        <v>2.8397045031451705E-2</v>
      </c>
      <c r="AB63" s="546">
        <v>2.6614014950894271E-2</v>
      </c>
      <c r="AC63" s="506">
        <v>3.0156226680339352E-2</v>
      </c>
      <c r="AD63" s="540">
        <v>2.5465872918750576E-2</v>
      </c>
      <c r="AE63" s="545">
        <v>2.8038559776213081E-2</v>
      </c>
      <c r="AF63" s="545">
        <v>4.0781871516618877E-2</v>
      </c>
      <c r="AG63" s="545">
        <v>3.6251221233758367E-2</v>
      </c>
      <c r="AH63" s="545">
        <v>4.2267561630313831E-2</v>
      </c>
      <c r="AI63" s="545">
        <v>3.4344822709794096E-2</v>
      </c>
      <c r="AJ63" s="545">
        <v>3.8446548825937968E-2</v>
      </c>
      <c r="AK63" s="545">
        <v>8.505701788450741E-2</v>
      </c>
      <c r="AL63" s="545">
        <v>8.0613469855581057E-2</v>
      </c>
      <c r="AM63" s="545">
        <v>8.4768968689130933E-2</v>
      </c>
      <c r="AN63" s="545">
        <v>7.6516508149966023E-2</v>
      </c>
      <c r="AO63" s="545">
        <v>7.8503459874456949E-2</v>
      </c>
      <c r="AP63" s="545">
        <v>3.4996622872208547E-2</v>
      </c>
      <c r="AQ63" s="545">
        <v>3.2303946790450143E-2</v>
      </c>
      <c r="AR63" s="512">
        <v>3.4499733918495798E-2</v>
      </c>
      <c r="AS63" s="545">
        <v>3.213997289837596E-2</v>
      </c>
      <c r="AT63" s="548">
        <v>3.3045069119145946E-2</v>
      </c>
    </row>
    <row r="64" spans="1:70" x14ac:dyDescent="0.3">
      <c r="B64" s="441" t="s">
        <v>62</v>
      </c>
      <c r="C64" s="544">
        <v>55</v>
      </c>
      <c r="D64" s="545">
        <v>0.24232349085231247</v>
      </c>
      <c r="E64" s="545">
        <v>0.23732310050194505</v>
      </c>
      <c r="F64" s="500">
        <v>0.25087663385662018</v>
      </c>
      <c r="G64" s="540">
        <v>0.22628977540663961</v>
      </c>
      <c r="H64" s="540">
        <v>0.24342725015051508</v>
      </c>
      <c r="I64" s="545">
        <v>0.41774595137177861</v>
      </c>
      <c r="J64" s="545">
        <v>0.3988511870978384</v>
      </c>
      <c r="K64" s="545">
        <v>0.42540495672436512</v>
      </c>
      <c r="L64" s="545">
        <v>0.37745697288945168</v>
      </c>
      <c r="M64" s="545">
        <v>0.40926551234726266</v>
      </c>
      <c r="N64" s="545">
        <v>0.57977658202268634</v>
      </c>
      <c r="O64" s="545">
        <v>0.59762805255453422</v>
      </c>
      <c r="P64" s="545">
        <v>0.58170663746140727</v>
      </c>
      <c r="Q64" s="545">
        <v>0.56721682757625036</v>
      </c>
      <c r="R64" s="545">
        <v>0.56400119430202245</v>
      </c>
      <c r="S64" s="545">
        <v>0.31515102275021123</v>
      </c>
      <c r="T64" s="546">
        <v>0.31303863079165406</v>
      </c>
      <c r="U64" s="500">
        <v>0.31615543779722294</v>
      </c>
      <c r="V64" s="540">
        <v>0.31262186620293131</v>
      </c>
      <c r="W64" s="547">
        <v>0.31444647277963761</v>
      </c>
      <c r="X64" s="542"/>
      <c r="Y64" s="441" t="s">
        <v>62</v>
      </c>
      <c r="Z64" s="544">
        <v>55</v>
      </c>
      <c r="AA64" s="545">
        <v>2.7221295717516452E-2</v>
      </c>
      <c r="AB64" s="546">
        <v>2.5931009243584806E-2</v>
      </c>
      <c r="AC64" s="506">
        <v>2.8824713603495644E-2</v>
      </c>
      <c r="AD64" s="540">
        <v>2.4717113545483411E-2</v>
      </c>
      <c r="AE64" s="545">
        <v>2.7065622537519825E-2</v>
      </c>
      <c r="AF64" s="545">
        <v>3.9093341692351839E-2</v>
      </c>
      <c r="AG64" s="545">
        <v>3.5320892193015006E-2</v>
      </c>
      <c r="AH64" s="545">
        <v>4.040128666051622E-2</v>
      </c>
      <c r="AI64" s="545">
        <v>3.3335000348345703E-2</v>
      </c>
      <c r="AJ64" s="545">
        <v>3.7112454658814319E-2</v>
      </c>
      <c r="AK64" s="545">
        <v>7.9773162802110775E-2</v>
      </c>
      <c r="AL64" s="545">
        <v>8.1139090889857934E-2</v>
      </c>
      <c r="AM64" s="545">
        <v>7.9582125959981598E-2</v>
      </c>
      <c r="AN64" s="545">
        <v>7.7013202089292354E-2</v>
      </c>
      <c r="AO64" s="545">
        <v>7.6816038451877094E-2</v>
      </c>
      <c r="AP64" s="545">
        <v>3.273386575218358E-2</v>
      </c>
      <c r="AQ64" s="545">
        <v>3.0183629861882364E-2</v>
      </c>
      <c r="AR64" s="512">
        <v>3.2352193551964607E-2</v>
      </c>
      <c r="AS64" s="545">
        <v>3.0030899551228667E-2</v>
      </c>
      <c r="AT64" s="548">
        <v>3.0914302756631123E-2</v>
      </c>
    </row>
    <row r="65" spans="2:46" x14ac:dyDescent="0.3">
      <c r="B65" s="441" t="s">
        <v>62</v>
      </c>
      <c r="C65" s="544">
        <v>60</v>
      </c>
      <c r="D65" s="545">
        <v>0.23447188770914604</v>
      </c>
      <c r="E65" s="545">
        <v>0.23031404963930124</v>
      </c>
      <c r="F65" s="500">
        <v>0.24305046890348533</v>
      </c>
      <c r="G65" s="540">
        <v>0.22155043851770495</v>
      </c>
      <c r="H65" s="540">
        <v>0.23694294864069523</v>
      </c>
      <c r="I65" s="545">
        <v>0.4042104273773891</v>
      </c>
      <c r="J65" s="545">
        <v>0.38707159947622932</v>
      </c>
      <c r="K65" s="545">
        <v>0.41213433318311971</v>
      </c>
      <c r="L65" s="545">
        <v>0.36955164109800881</v>
      </c>
      <c r="M65" s="545">
        <v>0.39836368858681814</v>
      </c>
      <c r="N65" s="545">
        <v>0.54140826156375388</v>
      </c>
      <c r="O65" s="545">
        <v>0.56079544564992201</v>
      </c>
      <c r="P65" s="545">
        <v>0.54393912154302881</v>
      </c>
      <c r="Q65" s="545">
        <v>0.53225329203469418</v>
      </c>
      <c r="R65" s="545">
        <v>0.5284470790355621</v>
      </c>
      <c r="S65" s="545">
        <v>0.29781640030617618</v>
      </c>
      <c r="T65" s="546">
        <v>0.29574612450194121</v>
      </c>
      <c r="U65" s="500">
        <v>0.29898304746071863</v>
      </c>
      <c r="V65" s="540">
        <v>0.29534038332696017</v>
      </c>
      <c r="W65" s="547">
        <v>0.29716735341040074</v>
      </c>
      <c r="X65" s="542"/>
      <c r="Y65" s="441" t="s">
        <v>62</v>
      </c>
      <c r="Z65" s="544">
        <v>60</v>
      </c>
      <c r="AA65" s="545">
        <v>2.6557849805319337E-2</v>
      </c>
      <c r="AB65" s="546">
        <v>2.5361827502716094E-2</v>
      </c>
      <c r="AC65" s="506">
        <v>2.8000058812641712E-2</v>
      </c>
      <c r="AD65" s="540">
        <v>2.4437272638487315E-2</v>
      </c>
      <c r="AE65" s="545">
        <v>2.6527844003872394E-2</v>
      </c>
      <c r="AF65" s="545">
        <v>3.8140546571610173E-2</v>
      </c>
      <c r="AG65" s="545">
        <v>3.4545603937991533E-2</v>
      </c>
      <c r="AH65" s="545">
        <v>3.9245434253461699E-2</v>
      </c>
      <c r="AI65" s="545">
        <v>3.2957589906991769E-2</v>
      </c>
      <c r="AJ65" s="545">
        <v>3.637505128230574E-2</v>
      </c>
      <c r="AK65" s="545">
        <v>7.4698787751321272E-2</v>
      </c>
      <c r="AL65" s="545">
        <v>7.633174677983888E-2</v>
      </c>
      <c r="AM65" s="545">
        <v>7.4645833581501578E-2</v>
      </c>
      <c r="AN65" s="545">
        <v>7.2448602437084758E-2</v>
      </c>
      <c r="AO65" s="545">
        <v>7.2169584263245656E-2</v>
      </c>
      <c r="AP65" s="545">
        <v>3.1446146306095393E-2</v>
      </c>
      <c r="AQ65" s="545">
        <v>2.8996586958253735E-2</v>
      </c>
      <c r="AR65" s="512">
        <v>3.1089891541659843E-2</v>
      </c>
      <c r="AS65" s="545">
        <v>2.8845702545001614E-2</v>
      </c>
      <c r="AT65" s="548">
        <v>2.969966164076366E-2</v>
      </c>
    </row>
    <row r="66" spans="2:46" x14ac:dyDescent="0.3">
      <c r="B66" s="441" t="s">
        <v>62</v>
      </c>
      <c r="C66" s="544">
        <v>65</v>
      </c>
      <c r="D66" s="545">
        <v>0.23511497600414638</v>
      </c>
      <c r="E66" s="545">
        <v>0.22911948626883441</v>
      </c>
      <c r="F66" s="500">
        <v>0.24206051704383855</v>
      </c>
      <c r="G66" s="540">
        <v>0.22168816756594475</v>
      </c>
      <c r="H66" s="540">
        <v>0.2365426340576294</v>
      </c>
      <c r="I66" s="545">
        <v>0.40531905919292655</v>
      </c>
      <c r="J66" s="545">
        <v>0.38506398615343607</v>
      </c>
      <c r="K66" s="545">
        <v>0.41045569766597972</v>
      </c>
      <c r="L66" s="545">
        <v>0.36978137657560212</v>
      </c>
      <c r="M66" s="545">
        <v>0.39769065402377229</v>
      </c>
      <c r="N66" s="545">
        <v>0.5135819655647651</v>
      </c>
      <c r="O66" s="545">
        <v>0.5319271068330963</v>
      </c>
      <c r="P66" s="545">
        <v>0.51621978785438416</v>
      </c>
      <c r="Q66" s="545">
        <v>0.50483248098558442</v>
      </c>
      <c r="R66" s="545">
        <v>0.50132313929716465</v>
      </c>
      <c r="S66" s="545">
        <v>0.28619630028874554</v>
      </c>
      <c r="T66" s="546">
        <v>0.28427898947569286</v>
      </c>
      <c r="U66" s="500">
        <v>0.28722113502535257</v>
      </c>
      <c r="V66" s="540">
        <v>0.28386595063427172</v>
      </c>
      <c r="W66" s="547">
        <v>0.28557666906961948</v>
      </c>
      <c r="X66" s="542"/>
      <c r="Y66" s="441" t="s">
        <v>62</v>
      </c>
      <c r="Z66" s="544">
        <v>65</v>
      </c>
      <c r="AA66" s="545">
        <v>2.7212774984534772E-2</v>
      </c>
      <c r="AB66" s="546">
        <v>2.5667463617034338E-2</v>
      </c>
      <c r="AC66" s="506">
        <v>2.8345273475488843E-2</v>
      </c>
      <c r="AD66" s="540">
        <v>2.4906944031318691E-2</v>
      </c>
      <c r="AE66" s="545">
        <v>2.6957865270330526E-2</v>
      </c>
      <c r="AF66" s="545">
        <v>3.9081104805122863E-2</v>
      </c>
      <c r="AG66" s="545">
        <v>3.4961914006863895E-2</v>
      </c>
      <c r="AH66" s="545">
        <v>3.9729293928355711E-2</v>
      </c>
      <c r="AI66" s="545">
        <v>3.359101726956918E-2</v>
      </c>
      <c r="AJ66" s="545">
        <v>3.6964697603266206E-2</v>
      </c>
      <c r="AK66" s="545">
        <v>7.1494252653391252E-2</v>
      </c>
      <c r="AL66" s="545">
        <v>7.3063038082504847E-2</v>
      </c>
      <c r="AM66" s="545">
        <v>7.1460793145199653E-2</v>
      </c>
      <c r="AN66" s="545">
        <v>6.9340714755234165E-2</v>
      </c>
      <c r="AO66" s="545">
        <v>6.9079737112085843E-2</v>
      </c>
      <c r="AP66" s="545">
        <v>3.115220250732563E-2</v>
      </c>
      <c r="AQ66" s="545">
        <v>2.8759489624848374E-2</v>
      </c>
      <c r="AR66" s="512">
        <v>3.0725335900661416E-2</v>
      </c>
      <c r="AS66" s="545">
        <v>2.8605860161767298E-2</v>
      </c>
      <c r="AT66" s="548">
        <v>2.9418840839669613E-2</v>
      </c>
    </row>
    <row r="67" spans="2:46" x14ac:dyDescent="0.3">
      <c r="B67" s="441" t="s">
        <v>62</v>
      </c>
      <c r="C67" s="544">
        <v>70</v>
      </c>
      <c r="D67" s="545">
        <v>0.24800422764686658</v>
      </c>
      <c r="E67" s="545">
        <v>0.24010724152640919</v>
      </c>
      <c r="F67" s="500">
        <v>0.25225248370984615</v>
      </c>
      <c r="G67" s="540">
        <v>0.23232681621738802</v>
      </c>
      <c r="H67" s="540">
        <v>0.24757775302988597</v>
      </c>
      <c r="I67" s="545">
        <v>0.42753907868430979</v>
      </c>
      <c r="J67" s="545">
        <v>0.4035302847090978</v>
      </c>
      <c r="K67" s="545">
        <v>0.4277379493920096</v>
      </c>
      <c r="L67" s="545">
        <v>0.38752690709456694</v>
      </c>
      <c r="M67" s="545">
        <v>0.41624360410311256</v>
      </c>
      <c r="N67" s="545">
        <v>0.49012308036660984</v>
      </c>
      <c r="O67" s="545">
        <v>0.5076359872929086</v>
      </c>
      <c r="P67" s="545">
        <v>0.49274806138519006</v>
      </c>
      <c r="Q67" s="545">
        <v>0.48175770418042746</v>
      </c>
      <c r="R67" s="545">
        <v>0.47845091525367278</v>
      </c>
      <c r="S67" s="545">
        <v>0.27635549714548735</v>
      </c>
      <c r="T67" s="546">
        <v>0.2745364372461867</v>
      </c>
      <c r="U67" s="500">
        <v>0.27734085010976711</v>
      </c>
      <c r="V67" s="540">
        <v>0.27411775442756336</v>
      </c>
      <c r="W67" s="547">
        <v>0.27576682985680462</v>
      </c>
      <c r="X67" s="542"/>
      <c r="Y67" s="441" t="s">
        <v>62</v>
      </c>
      <c r="Z67" s="544">
        <v>70</v>
      </c>
      <c r="AA67" s="545">
        <v>2.9707205194083042E-2</v>
      </c>
      <c r="AB67" s="546">
        <v>2.7925963827796354E-2</v>
      </c>
      <c r="AC67" s="506">
        <v>3.0336428098511434E-2</v>
      </c>
      <c r="AD67" s="540">
        <v>2.7101219671758769E-2</v>
      </c>
      <c r="AE67" s="545">
        <v>2.9182870196096982E-2</v>
      </c>
      <c r="AF67" s="545">
        <v>4.2663432903004166E-2</v>
      </c>
      <c r="AG67" s="545">
        <v>3.8038240181170517E-2</v>
      </c>
      <c r="AH67" s="545">
        <v>4.2520135489410874E-2</v>
      </c>
      <c r="AI67" s="545">
        <v>3.6550350652240902E-2</v>
      </c>
      <c r="AJ67" s="545">
        <v>4.0015630361553062E-2</v>
      </c>
      <c r="AK67" s="545">
        <v>6.8836489716366495E-2</v>
      </c>
      <c r="AL67" s="545">
        <v>7.0359750986052572E-2</v>
      </c>
      <c r="AM67" s="545">
        <v>6.8803746152348563E-2</v>
      </c>
      <c r="AN67" s="545">
        <v>6.6769972924650409E-2</v>
      </c>
      <c r="AO67" s="545">
        <v>6.6516637656531194E-2</v>
      </c>
      <c r="AP67" s="545">
        <v>3.0916317000215281E-2</v>
      </c>
      <c r="AQ67" s="545">
        <v>2.8571845861130377E-2</v>
      </c>
      <c r="AR67" s="512">
        <v>3.0426343663009094E-2</v>
      </c>
      <c r="AS67" s="545">
        <v>2.8415960501430814E-2</v>
      </c>
      <c r="AT67" s="548">
        <v>2.9193138851754424E-2</v>
      </c>
    </row>
    <row r="68" spans="2:46" ht="15" thickBot="1" x14ac:dyDescent="0.35">
      <c r="B68" s="442" t="s">
        <v>62</v>
      </c>
      <c r="C68" s="549">
        <v>75</v>
      </c>
      <c r="D68" s="550">
        <v>0.27133116175263888</v>
      </c>
      <c r="E68" s="550">
        <v>0.26261884554392739</v>
      </c>
      <c r="F68" s="501">
        <v>0.2722023551247082</v>
      </c>
      <c r="G68" s="551">
        <v>0.25415275335443532</v>
      </c>
      <c r="H68" s="551">
        <v>0.26965487460387366</v>
      </c>
      <c r="I68" s="550">
        <v>0.46775281217885445</v>
      </c>
      <c r="J68" s="550">
        <v>0.44136385407875983</v>
      </c>
      <c r="K68" s="550">
        <v>0.4615664253860966</v>
      </c>
      <c r="L68" s="550">
        <v>0.42393311301978442</v>
      </c>
      <c r="M68" s="550">
        <v>0.45336107746135051</v>
      </c>
      <c r="N68" s="550">
        <v>0.47226881064300241</v>
      </c>
      <c r="O68" s="550">
        <v>0.48920503310161823</v>
      </c>
      <c r="P68" s="550">
        <v>0.47477880875256218</v>
      </c>
      <c r="Q68" s="550">
        <v>0.46424451863979105</v>
      </c>
      <c r="R68" s="550">
        <v>0.46104149876148298</v>
      </c>
      <c r="S68" s="550">
        <v>0.27179404521652756</v>
      </c>
      <c r="T68" s="552">
        <v>0.2701475088001159</v>
      </c>
      <c r="U68" s="501">
        <v>0.2724794292015692</v>
      </c>
      <c r="V68" s="540">
        <v>0.26971653131896045</v>
      </c>
      <c r="W68" s="553">
        <v>0.27120591063650362</v>
      </c>
      <c r="X68" s="542"/>
      <c r="Y68" s="442" t="s">
        <v>62</v>
      </c>
      <c r="Z68" s="549">
        <v>75</v>
      </c>
      <c r="AA68" s="550">
        <v>3.333856420116578E-2</v>
      </c>
      <c r="AB68" s="552">
        <v>3.1431833054442103E-2</v>
      </c>
      <c r="AC68" s="507">
        <v>3.3409820879097246E-2</v>
      </c>
      <c r="AD68" s="551">
        <v>3.0508104388903817E-2</v>
      </c>
      <c r="AE68" s="550">
        <v>3.2612211993698979E-2</v>
      </c>
      <c r="AF68" s="550">
        <v>4.7878539485169354E-2</v>
      </c>
      <c r="AG68" s="550">
        <v>4.2813620415466581E-2</v>
      </c>
      <c r="AH68" s="550">
        <v>4.6827863380721126E-2</v>
      </c>
      <c r="AI68" s="550">
        <v>4.1145082275082685E-2</v>
      </c>
      <c r="AJ68" s="550">
        <v>4.4717953088349784E-2</v>
      </c>
      <c r="AK68" s="550">
        <v>6.6994622286943153E-2</v>
      </c>
      <c r="AL68" s="550">
        <v>6.850208459942192E-2</v>
      </c>
      <c r="AM68" s="550">
        <v>6.6934767162231623E-2</v>
      </c>
      <c r="AN68" s="550">
        <v>6.5001593670827446E-2</v>
      </c>
      <c r="AO68" s="550">
        <v>6.4740274977864221E-2</v>
      </c>
      <c r="AP68" s="550">
        <v>3.121537905748669E-2</v>
      </c>
      <c r="AQ68" s="550">
        <v>2.8890476139981417E-2</v>
      </c>
      <c r="AR68" s="513">
        <v>3.0623161152061557E-2</v>
      </c>
      <c r="AS68" s="550">
        <v>2.8729791692803101E-2</v>
      </c>
      <c r="AT68" s="554">
        <v>2.9470729649014031E-2</v>
      </c>
    </row>
    <row r="69" spans="2:46" x14ac:dyDescent="0.3">
      <c r="B69" s="458" t="s">
        <v>303</v>
      </c>
      <c r="C69" s="459">
        <v>2.5</v>
      </c>
      <c r="D69" s="464">
        <v>4.2125543374141705E-2</v>
      </c>
      <c r="E69" s="464">
        <v>4.2056526403342051E-2</v>
      </c>
      <c r="F69" s="502">
        <v>4.2660434604782332E-2</v>
      </c>
      <c r="G69" s="485">
        <v>4.140940527167921E-2</v>
      </c>
      <c r="H69" s="485">
        <v>4.2821040105767108E-2</v>
      </c>
      <c r="I69" s="464">
        <v>5.1590555315000522E-2</v>
      </c>
      <c r="J69" s="464">
        <v>5.0569534408682462E-2</v>
      </c>
      <c r="K69" s="464">
        <v>5.1548022270625174E-2</v>
      </c>
      <c r="L69" s="464">
        <v>4.9372639170967542E-2</v>
      </c>
      <c r="M69" s="464">
        <v>5.1432672920399498E-2</v>
      </c>
      <c r="N69" s="464">
        <v>7.0370616571243189E-2</v>
      </c>
      <c r="O69" s="464">
        <v>6.676569216098667E-2</v>
      </c>
      <c r="P69" s="464">
        <v>7.0298858854925567E-2</v>
      </c>
      <c r="Q69" s="464">
        <v>5.9928765811306947E-2</v>
      </c>
      <c r="R69" s="464">
        <v>6.7224526114899957E-2</v>
      </c>
      <c r="S69" s="464">
        <v>7.2736851865639135E-2</v>
      </c>
      <c r="T69" s="474">
        <v>7.1526564521644617E-2</v>
      </c>
      <c r="U69" s="508">
        <v>7.301689974162516E-2</v>
      </c>
      <c r="V69" s="486">
        <v>6.6366638301346495E-2</v>
      </c>
      <c r="W69" s="496">
        <v>7.3891026407341867E-2</v>
      </c>
      <c r="Y69" s="458" t="s">
        <v>303</v>
      </c>
      <c r="Z69" s="459">
        <v>2.5</v>
      </c>
      <c r="AA69" s="464">
        <v>9.003954572096096E-3</v>
      </c>
      <c r="AB69" s="474">
        <v>8.9678718014158231E-3</v>
      </c>
      <c r="AC69" s="508">
        <v>9.1069773960065162E-3</v>
      </c>
      <c r="AD69" s="485">
        <v>8.8177523562306143E-3</v>
      </c>
      <c r="AE69" s="464">
        <v>9.1297532491549094E-3</v>
      </c>
      <c r="AF69" s="464">
        <v>1.1354339776586285E-2</v>
      </c>
      <c r="AG69" s="464">
        <v>1.1106953902232078E-2</v>
      </c>
      <c r="AH69" s="464">
        <v>1.1333915439133598E-2</v>
      </c>
      <c r="AI69" s="464">
        <v>1.0828970821159193E-2</v>
      </c>
      <c r="AJ69" s="464">
        <v>1.1294601388980807E-2</v>
      </c>
      <c r="AK69" s="464">
        <v>5.966764982774822E-2</v>
      </c>
      <c r="AL69" s="464">
        <v>5.6792290313953164E-2</v>
      </c>
      <c r="AM69" s="464">
        <v>5.9605748149691745E-2</v>
      </c>
      <c r="AN69" s="464">
        <v>5.1140404654426617E-2</v>
      </c>
      <c r="AO69" s="464">
        <v>5.7189654878804536E-2</v>
      </c>
      <c r="AP69" s="464">
        <v>5.9253461045284908E-2</v>
      </c>
      <c r="AQ69" s="464">
        <v>5.8748773195035381E-2</v>
      </c>
      <c r="AR69" s="514">
        <v>5.9830833225169966E-2</v>
      </c>
      <c r="AS69" s="464">
        <v>5.5379864535874818E-2</v>
      </c>
      <c r="AT69" s="465">
        <v>6.1071579387642821E-2</v>
      </c>
    </row>
    <row r="70" spans="2:46" x14ac:dyDescent="0.3">
      <c r="B70" s="450" t="s">
        <v>303</v>
      </c>
      <c r="C70" s="451">
        <v>5</v>
      </c>
      <c r="D70" s="452">
        <v>2.3496981449278462E-2</v>
      </c>
      <c r="E70" s="452">
        <v>2.377616808456658E-2</v>
      </c>
      <c r="F70" s="503">
        <v>2.3674683283788505E-2</v>
      </c>
      <c r="G70" s="486">
        <v>2.3410325252426964E-2</v>
      </c>
      <c r="H70" s="486">
        <v>2.4041820879744002E-2</v>
      </c>
      <c r="I70" s="452">
        <v>2.8776419817973214E-2</v>
      </c>
      <c r="J70" s="452">
        <v>2.8588898154070137E-2</v>
      </c>
      <c r="K70" s="452">
        <v>2.8606907371401223E-2</v>
      </c>
      <c r="L70" s="452">
        <v>2.7912246842954853E-2</v>
      </c>
      <c r="M70" s="452">
        <v>2.8876811648303913E-2</v>
      </c>
      <c r="N70" s="452">
        <v>3.6592780411147004E-2</v>
      </c>
      <c r="O70" s="452">
        <v>3.3719349147619052E-2</v>
      </c>
      <c r="P70" s="452">
        <v>3.7012389545647936E-2</v>
      </c>
      <c r="Q70" s="452">
        <v>3.026642776643319E-2</v>
      </c>
      <c r="R70" s="452">
        <v>3.4502398197085296E-2</v>
      </c>
      <c r="S70" s="452">
        <v>4.0196629400659607E-2</v>
      </c>
      <c r="T70" s="475">
        <v>3.9425826248270686E-2</v>
      </c>
      <c r="U70" s="509">
        <v>4.062475832366657E-2</v>
      </c>
      <c r="V70" s="486">
        <v>3.6581645952765939E-2</v>
      </c>
      <c r="W70" s="497">
        <v>4.0856108619776607E-2</v>
      </c>
      <c r="Y70" s="450" t="s">
        <v>303</v>
      </c>
      <c r="Z70" s="451">
        <v>5</v>
      </c>
      <c r="AA70" s="452">
        <v>5.012568924859467E-3</v>
      </c>
      <c r="AB70" s="475">
        <v>5.0633706642122999E-3</v>
      </c>
      <c r="AC70" s="509">
        <v>5.0451151770087542E-3</v>
      </c>
      <c r="AD70" s="486">
        <v>4.9786108981131668E-3</v>
      </c>
      <c r="AE70" s="452">
        <v>5.1182828046596913E-3</v>
      </c>
      <c r="AF70" s="452">
        <v>6.3210459660463028E-3</v>
      </c>
      <c r="AG70" s="452">
        <v>6.2711227148052493E-3</v>
      </c>
      <c r="AH70" s="452">
        <v>6.2788020998032837E-3</v>
      </c>
      <c r="AI70" s="452">
        <v>6.1141694581020537E-3</v>
      </c>
      <c r="AJ70" s="452">
        <v>6.3319306116030021E-3</v>
      </c>
      <c r="AK70" s="452">
        <v>3.1075796395442154E-2</v>
      </c>
      <c r="AL70" s="452">
        <v>2.8737284819249708E-2</v>
      </c>
      <c r="AM70" s="452">
        <v>3.1429552275787372E-2</v>
      </c>
      <c r="AN70" s="452">
        <v>2.5877391282923635E-2</v>
      </c>
      <c r="AO70" s="452">
        <v>2.9403645464746758E-2</v>
      </c>
      <c r="AP70" s="452">
        <v>3.2838717023854852E-2</v>
      </c>
      <c r="AQ70" s="452">
        <v>3.2477301515375416E-2</v>
      </c>
      <c r="AR70" s="448">
        <v>3.3377736297880788E-2</v>
      </c>
      <c r="AS70" s="452">
        <v>3.0614913320335939E-2</v>
      </c>
      <c r="AT70" s="453">
        <v>3.3863962531733967E-2</v>
      </c>
    </row>
    <row r="71" spans="2:46" x14ac:dyDescent="0.3">
      <c r="B71" s="450" t="s">
        <v>303</v>
      </c>
      <c r="C71" s="451">
        <v>10</v>
      </c>
      <c r="D71" s="452">
        <v>1.4179388915930959E-2</v>
      </c>
      <c r="E71" s="452">
        <v>1.4635924688377459E-2</v>
      </c>
      <c r="F71" s="503">
        <v>1.4044134591734724E-2</v>
      </c>
      <c r="G71" s="486">
        <v>1.4410722690183179E-2</v>
      </c>
      <c r="H71" s="486">
        <v>1.4608402429460028E-2</v>
      </c>
      <c r="I71" s="452">
        <v>1.736529643554173E-2</v>
      </c>
      <c r="J71" s="452">
        <v>1.7598502787262386E-2</v>
      </c>
      <c r="K71" s="452">
        <v>1.6969995017942052E-2</v>
      </c>
      <c r="L71" s="452">
        <v>1.7181976097152399E-2</v>
      </c>
      <c r="M71" s="452">
        <v>1.7546261888739031E-2</v>
      </c>
      <c r="N71" s="452">
        <v>2.3373228657748133E-2</v>
      </c>
      <c r="O71" s="452">
        <v>2.0778080643224613E-2</v>
      </c>
      <c r="P71" s="452">
        <v>2.3317001940539643E-2</v>
      </c>
      <c r="Q71" s="452">
        <v>1.8650368195427845E-2</v>
      </c>
      <c r="R71" s="452">
        <v>2.1485468724595534E-2</v>
      </c>
      <c r="S71" s="452">
        <v>2.5484125203988697E-2</v>
      </c>
      <c r="T71" s="475">
        <v>2.5184434178036372E-2</v>
      </c>
      <c r="U71" s="509">
        <v>2.5293013307440888E-2</v>
      </c>
      <c r="V71" s="486">
        <v>2.3367629147438191E-2</v>
      </c>
      <c r="W71" s="497">
        <v>2.5875939668651489E-2</v>
      </c>
      <c r="Y71" s="450" t="s">
        <v>303</v>
      </c>
      <c r="Z71" s="451">
        <v>10</v>
      </c>
      <c r="AA71" s="452">
        <v>3.0176615423950703E-3</v>
      </c>
      <c r="AB71" s="475">
        <v>3.1111066983594829E-3</v>
      </c>
      <c r="AC71" s="509">
        <v>2.9858548753609057E-3</v>
      </c>
      <c r="AD71" s="486">
        <v>3.0590275167057118E-3</v>
      </c>
      <c r="AE71" s="452">
        <v>3.1036658658996686E-3</v>
      </c>
      <c r="AF71" s="452">
        <v>3.8053895328699562E-3</v>
      </c>
      <c r="AG71" s="452">
        <v>3.853190528230876E-3</v>
      </c>
      <c r="AH71" s="452">
        <v>3.7159888730705572E-3</v>
      </c>
      <c r="AI71" s="452">
        <v>3.7567532383830601E-3</v>
      </c>
      <c r="AJ71" s="452">
        <v>3.8396074727613848E-3</v>
      </c>
      <c r="AK71" s="452">
        <v>1.9838891288643717E-2</v>
      </c>
      <c r="AL71" s="452">
        <v>1.774081366551683E-2</v>
      </c>
      <c r="AM71" s="452">
        <v>1.9788990120916384E-2</v>
      </c>
      <c r="AN71" s="452">
        <v>1.5975273230841153E-2</v>
      </c>
      <c r="AO71" s="452">
        <v>1.8325659092434988E-2</v>
      </c>
      <c r="AP71" s="452">
        <v>2.0677178365016875E-2</v>
      </c>
      <c r="AQ71" s="452">
        <v>2.0601374524710378E-2</v>
      </c>
      <c r="AR71" s="448">
        <v>2.064581049299602E-2</v>
      </c>
      <c r="AS71" s="452">
        <v>1.9420003076829343E-2</v>
      </c>
      <c r="AT71" s="453">
        <v>2.1301384948810287E-2</v>
      </c>
    </row>
    <row r="72" spans="2:46" ht="18" customHeight="1" x14ac:dyDescent="0.3">
      <c r="B72" s="450" t="s">
        <v>303</v>
      </c>
      <c r="C72" s="451">
        <v>15</v>
      </c>
      <c r="D72" s="452">
        <v>1.1223259807890216E-2</v>
      </c>
      <c r="E72" s="452">
        <v>1.1589197443521647E-2</v>
      </c>
      <c r="F72" s="503">
        <v>1.1105662312348131E-2</v>
      </c>
      <c r="G72" s="486">
        <v>1.1410875252420774E-2</v>
      </c>
      <c r="H72" s="486">
        <v>1.1562314252211487E-2</v>
      </c>
      <c r="I72" s="452">
        <v>1.3744967056947301E-2</v>
      </c>
      <c r="J72" s="452">
        <v>1.3935062379345983E-2</v>
      </c>
      <c r="K72" s="452">
        <v>1.3419341211840078E-2</v>
      </c>
      <c r="L72" s="452">
        <v>1.3605243126928105E-2</v>
      </c>
      <c r="M72" s="452">
        <v>1.3887582498417074E-2</v>
      </c>
      <c r="N72" s="452">
        <v>1.9428692415911757E-2</v>
      </c>
      <c r="O72" s="452">
        <v>1.4229804668032803E-2</v>
      </c>
      <c r="P72" s="452">
        <v>1.9299751508757235E-2</v>
      </c>
      <c r="Q72" s="452">
        <v>1.2772647337585975E-2</v>
      </c>
      <c r="R72" s="452">
        <v>1.6021903364720303E-2</v>
      </c>
      <c r="S72" s="452">
        <v>2.2716614222364918E-2</v>
      </c>
      <c r="T72" s="475">
        <v>2.2514379535573177E-2</v>
      </c>
      <c r="U72" s="509">
        <v>2.2384966666429456E-2</v>
      </c>
      <c r="V72" s="486">
        <v>2.0890192241573499E-2</v>
      </c>
      <c r="W72" s="497">
        <v>2.3056090392943436E-2</v>
      </c>
      <c r="Y72" s="450" t="s">
        <v>303</v>
      </c>
      <c r="Z72" s="451">
        <v>15</v>
      </c>
      <c r="AA72" s="452">
        <v>2.3876617827686959E-3</v>
      </c>
      <c r="AB72" s="475">
        <v>2.4603545571305402E-3</v>
      </c>
      <c r="AC72" s="509">
        <v>2.3597546670678705E-3</v>
      </c>
      <c r="AD72" s="486">
        <v>2.4191682715981912E-3</v>
      </c>
      <c r="AE72" s="452">
        <v>2.4540824499674502E-3</v>
      </c>
      <c r="AF72" s="452">
        <v>3.0109351325630154E-3</v>
      </c>
      <c r="AG72" s="452">
        <v>3.0472162464322038E-3</v>
      </c>
      <c r="AH72" s="452">
        <v>2.9367877716898827E-3</v>
      </c>
      <c r="AI72" s="452">
        <v>2.9709501431053552E-3</v>
      </c>
      <c r="AJ72" s="452">
        <v>3.035994762579315E-3</v>
      </c>
      <c r="AK72" s="452">
        <v>1.6472320310549252E-2</v>
      </c>
      <c r="AL72" s="452">
        <v>1.218667467651709E-2</v>
      </c>
      <c r="AM72" s="452">
        <v>1.6359895601823615E-2</v>
      </c>
      <c r="AN72" s="452">
        <v>1.0973874186782437E-2</v>
      </c>
      <c r="AO72" s="452">
        <v>1.3678838004198919E-2</v>
      </c>
      <c r="AP72" s="452">
        <v>1.8369440464426241E-2</v>
      </c>
      <c r="AQ72" s="452">
        <v>1.8354225921065784E-2</v>
      </c>
      <c r="AR72" s="448">
        <v>1.8212307885428242E-2</v>
      </c>
      <c r="AS72" s="452">
        <v>1.7301715642036933E-2</v>
      </c>
      <c r="AT72" s="453">
        <v>1.8916043104530031E-2</v>
      </c>
    </row>
    <row r="73" spans="2:46" ht="18" customHeight="1" x14ac:dyDescent="0.3">
      <c r="B73" s="450" t="s">
        <v>303</v>
      </c>
      <c r="C73" s="451">
        <v>20</v>
      </c>
      <c r="D73" s="452">
        <v>9.3450464148497423E-3</v>
      </c>
      <c r="E73" s="452">
        <v>1.0008870584015566E-2</v>
      </c>
      <c r="F73" s="503">
        <v>9.2869572889815524E-3</v>
      </c>
      <c r="G73" s="486">
        <v>9.8548647898751059E-3</v>
      </c>
      <c r="H73" s="486">
        <v>9.8604007733503179E-3</v>
      </c>
      <c r="I73" s="452">
        <v>1.1444745761605882E-2</v>
      </c>
      <c r="J73" s="452">
        <v>1.2034848540182906E-2</v>
      </c>
      <c r="K73" s="452">
        <v>1.122173943125042E-2</v>
      </c>
      <c r="L73" s="452">
        <v>1.1750004139324016E-2</v>
      </c>
      <c r="M73" s="452">
        <v>1.1843401435068809E-2</v>
      </c>
      <c r="N73" s="452">
        <v>1.7168018910761827E-2</v>
      </c>
      <c r="O73" s="452">
        <v>1.3379388516367522E-2</v>
      </c>
      <c r="P73" s="452">
        <v>1.7102328633643069E-2</v>
      </c>
      <c r="Q73" s="452">
        <v>1.2009315313794448E-2</v>
      </c>
      <c r="R73" s="452">
        <v>1.4652321973640402E-2</v>
      </c>
      <c r="S73" s="452">
        <v>2.0056863730666334E-2</v>
      </c>
      <c r="T73" s="475">
        <v>1.9854687722667394E-2</v>
      </c>
      <c r="U73" s="509">
        <v>1.9822984735951267E-2</v>
      </c>
      <c r="V73" s="486">
        <v>1.8422370590678205E-2</v>
      </c>
      <c r="W73" s="497">
        <v>2.0360232057886715E-2</v>
      </c>
      <c r="Y73" s="450" t="s">
        <v>303</v>
      </c>
      <c r="Z73" s="451">
        <v>20</v>
      </c>
      <c r="AA73" s="452">
        <v>1.9924822450795338E-3</v>
      </c>
      <c r="AB73" s="475">
        <v>2.1236648591169485E-3</v>
      </c>
      <c r="AC73" s="509">
        <v>1.9768540832454558E-3</v>
      </c>
      <c r="AD73" s="486">
        <v>2.0881149917485781E-3</v>
      </c>
      <c r="AE73" s="452">
        <v>2.0936100129825856E-3</v>
      </c>
      <c r="AF73" s="452">
        <v>2.512598239840058E-3</v>
      </c>
      <c r="AG73" s="452">
        <v>2.6302168693221285E-3</v>
      </c>
      <c r="AH73" s="452">
        <v>2.4602561355686419E-3</v>
      </c>
      <c r="AI73" s="452">
        <v>2.564387771776411E-3</v>
      </c>
      <c r="AJ73" s="452">
        <v>2.5900470599034054E-3</v>
      </c>
      <c r="AK73" s="452">
        <v>1.4544059375142027E-2</v>
      </c>
      <c r="AL73" s="452">
        <v>1.1440501071444016E-2</v>
      </c>
      <c r="AM73" s="452">
        <v>1.4484027955963931E-2</v>
      </c>
      <c r="AN73" s="452">
        <v>1.030195874664382E-2</v>
      </c>
      <c r="AO73" s="452">
        <v>1.2494996999127679E-2</v>
      </c>
      <c r="AP73" s="452">
        <v>1.6120082801214856E-2</v>
      </c>
      <c r="AQ73" s="452">
        <v>1.6085500028494432E-2</v>
      </c>
      <c r="AR73" s="448">
        <v>1.6035465298014265E-2</v>
      </c>
      <c r="AS73" s="452">
        <v>1.5163088252806793E-2</v>
      </c>
      <c r="AT73" s="453">
        <v>1.6603184207045121E-2</v>
      </c>
    </row>
    <row r="74" spans="2:46" ht="18" customHeight="1" x14ac:dyDescent="0.3">
      <c r="B74" s="450" t="s">
        <v>303</v>
      </c>
      <c r="C74" s="451">
        <v>25</v>
      </c>
      <c r="D74" s="452">
        <v>8.3612253137151146E-3</v>
      </c>
      <c r="E74" s="452">
        <v>8.9459410154436939E-3</v>
      </c>
      <c r="F74" s="503">
        <v>8.3243432475331395E-3</v>
      </c>
      <c r="G74" s="486">
        <v>8.8082904632461722E-3</v>
      </c>
      <c r="H74" s="486">
        <v>8.8214304999140493E-3</v>
      </c>
      <c r="I74" s="452">
        <v>1.0239874016988653E-2</v>
      </c>
      <c r="J74" s="452">
        <v>1.0756762640353816E-2</v>
      </c>
      <c r="K74" s="452">
        <v>1.0058580862747777E-2</v>
      </c>
      <c r="L74" s="452">
        <v>1.050216838183758E-2</v>
      </c>
      <c r="M74" s="452">
        <v>1.059548643544065E-2</v>
      </c>
      <c r="N74" s="452">
        <v>1.5486012175394491E-2</v>
      </c>
      <c r="O74" s="452">
        <v>1.2732809560376252E-2</v>
      </c>
      <c r="P74" s="452">
        <v>1.5531826074295558E-2</v>
      </c>
      <c r="Q74" s="452">
        <v>1.1428947193961174E-2</v>
      </c>
      <c r="R74" s="452">
        <v>1.3644912926035313E-2</v>
      </c>
      <c r="S74" s="452">
        <v>1.8633892329641265E-2</v>
      </c>
      <c r="T74" s="475">
        <v>1.841421546268477E-2</v>
      </c>
      <c r="U74" s="509">
        <v>1.8496772880462139E-2</v>
      </c>
      <c r="V74" s="486">
        <v>1.7085813996642434E-2</v>
      </c>
      <c r="W74" s="497">
        <v>1.8920865312219447E-2</v>
      </c>
      <c r="Y74" s="450" t="s">
        <v>303</v>
      </c>
      <c r="Z74" s="451">
        <v>25</v>
      </c>
      <c r="AA74" s="452">
        <v>1.7827631473912187E-3</v>
      </c>
      <c r="AB74" s="475">
        <v>1.8988701544062298E-3</v>
      </c>
      <c r="AC74" s="509">
        <v>1.771610864582432E-3</v>
      </c>
      <c r="AD74" s="486">
        <v>1.8670834431270174E-3</v>
      </c>
      <c r="AE74" s="452">
        <v>1.8733618328972375E-3</v>
      </c>
      <c r="AF74" s="452">
        <v>2.2481342341939391E-3</v>
      </c>
      <c r="AG74" s="452">
        <v>2.3518024943202875E-3</v>
      </c>
      <c r="AH74" s="452">
        <v>2.2048245929579863E-3</v>
      </c>
      <c r="AI74" s="452">
        <v>2.2929417054909093E-3</v>
      </c>
      <c r="AJ74" s="452">
        <v>2.3175736060405943E-3</v>
      </c>
      <c r="AK74" s="452">
        <v>1.312863216068162E-2</v>
      </c>
      <c r="AL74" s="452">
        <v>1.0879805689157069E-2</v>
      </c>
      <c r="AM74" s="452">
        <v>1.3161124546321547E-2</v>
      </c>
      <c r="AN74" s="452">
        <v>9.7970629678940831E-3</v>
      </c>
      <c r="AO74" s="452">
        <v>1.1634997259798512E-2</v>
      </c>
      <c r="AP74" s="452">
        <v>1.5004943856433802E-2</v>
      </c>
      <c r="AQ74" s="452">
        <v>1.4946960192771331E-2</v>
      </c>
      <c r="AR74" s="448">
        <v>1.4991167793538852E-2</v>
      </c>
      <c r="AS74" s="452">
        <v>1.4089837189609615E-2</v>
      </c>
      <c r="AT74" s="453">
        <v>1.5458878163364014E-2</v>
      </c>
    </row>
    <row r="75" spans="2:46" ht="18" customHeight="1" x14ac:dyDescent="0.3">
      <c r="B75" s="450" t="s">
        <v>303</v>
      </c>
      <c r="C75" s="451">
        <v>30</v>
      </c>
      <c r="D75" s="452">
        <v>7.7460457805864453E-3</v>
      </c>
      <c r="E75" s="452">
        <v>7.9929142087528261E-3</v>
      </c>
      <c r="F75" s="503">
        <v>7.7653345182478045E-3</v>
      </c>
      <c r="G75" s="486">
        <v>7.8699278070037352E-3</v>
      </c>
      <c r="H75" s="486">
        <v>8.0082924013135E-3</v>
      </c>
      <c r="I75" s="452">
        <v>9.4864723706133951E-3</v>
      </c>
      <c r="J75" s="452">
        <v>9.610825825906848E-3</v>
      </c>
      <c r="K75" s="452">
        <v>9.3831120192249314E-3</v>
      </c>
      <c r="L75" s="452">
        <v>9.38335393535592E-3</v>
      </c>
      <c r="M75" s="452">
        <v>9.6188201573414178E-3</v>
      </c>
      <c r="N75" s="452">
        <v>1.5043930329882792E-2</v>
      </c>
      <c r="O75" s="452">
        <v>1.2615768550218535E-2</v>
      </c>
      <c r="P75" s="452">
        <v>1.5164116430965357E-2</v>
      </c>
      <c r="Q75" s="452">
        <v>1.1323891391604474E-2</v>
      </c>
      <c r="R75" s="452">
        <v>1.3425533641916012E-2</v>
      </c>
      <c r="S75" s="452">
        <v>1.8309116815537738E-2</v>
      </c>
      <c r="T75" s="475">
        <v>1.8071532096979811E-2</v>
      </c>
      <c r="U75" s="509">
        <v>1.8229100853303874E-2</v>
      </c>
      <c r="V75" s="486">
        <v>1.67678518082581E-2</v>
      </c>
      <c r="W75" s="497">
        <v>1.8594585973351233E-2</v>
      </c>
      <c r="Y75" s="450" t="s">
        <v>303</v>
      </c>
      <c r="Z75" s="451">
        <v>30</v>
      </c>
      <c r="AA75" s="452">
        <v>1.6513192498827044E-3</v>
      </c>
      <c r="AB75" s="475">
        <v>1.6972421763878128E-3</v>
      </c>
      <c r="AC75" s="509">
        <v>1.6524333637463727E-3</v>
      </c>
      <c r="AD75" s="486">
        <v>1.6688307091390414E-3</v>
      </c>
      <c r="AE75" s="452">
        <v>1.7010272607061502E-3</v>
      </c>
      <c r="AF75" s="452">
        <v>2.0823783252852364E-3</v>
      </c>
      <c r="AG75" s="452">
        <v>2.1020807423994745E-3</v>
      </c>
      <c r="AH75" s="452">
        <v>2.0565045018907258E-3</v>
      </c>
      <c r="AI75" s="452">
        <v>2.0494700151055642E-3</v>
      </c>
      <c r="AJ75" s="452">
        <v>2.1043750402831851E-3</v>
      </c>
      <c r="AK75" s="452">
        <v>1.2730651829902762E-2</v>
      </c>
      <c r="AL75" s="452">
        <v>1.0759520237093492E-2</v>
      </c>
      <c r="AM75" s="452">
        <v>1.282635854752614E-2</v>
      </c>
      <c r="AN75" s="452">
        <v>9.6887481522018454E-3</v>
      </c>
      <c r="AO75" s="452">
        <v>1.1426948240637461E-2</v>
      </c>
      <c r="AP75" s="452">
        <v>1.4713340319305546E-2</v>
      </c>
      <c r="AQ75" s="452">
        <v>1.4637803902885771E-2</v>
      </c>
      <c r="AR75" s="448">
        <v>1.4746416825121554E-2</v>
      </c>
      <c r="AS75" s="452">
        <v>1.3798409251461304E-2</v>
      </c>
      <c r="AT75" s="453">
        <v>1.5161380877061814E-2</v>
      </c>
    </row>
    <row r="76" spans="2:46" ht="18" customHeight="1" x14ac:dyDescent="0.3">
      <c r="B76" s="450" t="s">
        <v>303</v>
      </c>
      <c r="C76" s="451">
        <v>35</v>
      </c>
      <c r="D76" s="452">
        <v>7.5207841800164158E-3</v>
      </c>
      <c r="E76" s="452">
        <v>7.5901705475262113E-3</v>
      </c>
      <c r="F76" s="503">
        <v>7.6180346145343966E-3</v>
      </c>
      <c r="G76" s="486">
        <v>7.445696934060924E-3</v>
      </c>
      <c r="H76" s="486">
        <v>7.6831889897892866E-3</v>
      </c>
      <c r="I76" s="452">
        <v>9.2105976842897664E-3</v>
      </c>
      <c r="J76" s="452">
        <v>9.1265595020798857E-3</v>
      </c>
      <c r="K76" s="452">
        <v>9.2051246455044453E-3</v>
      </c>
      <c r="L76" s="452">
        <v>8.8775413626427605E-3</v>
      </c>
      <c r="M76" s="452">
        <v>9.2283360077520908E-3</v>
      </c>
      <c r="N76" s="452">
        <v>1.2695705992737063E-2</v>
      </c>
      <c r="O76" s="452">
        <v>1.1034200616130767E-2</v>
      </c>
      <c r="P76" s="452">
        <v>1.3014654904612299E-2</v>
      </c>
      <c r="Q76" s="452">
        <v>9.9042788295347697E-3</v>
      </c>
      <c r="R76" s="452">
        <v>1.1627884855136935E-2</v>
      </c>
      <c r="S76" s="452">
        <v>1.5524272971513937E-2</v>
      </c>
      <c r="T76" s="475">
        <v>1.5241592811649872E-2</v>
      </c>
      <c r="U76" s="509">
        <v>1.5660842134107678E-2</v>
      </c>
      <c r="V76" s="486">
        <v>1.4142064337216728E-2</v>
      </c>
      <c r="W76" s="497">
        <v>1.5779376250858422E-2</v>
      </c>
      <c r="Y76" s="450" t="s">
        <v>303</v>
      </c>
      <c r="Z76" s="451">
        <v>35</v>
      </c>
      <c r="AA76" s="452">
        <v>1.6043158723853122E-3</v>
      </c>
      <c r="AB76" s="475">
        <v>1.6132723593157608E-3</v>
      </c>
      <c r="AC76" s="509">
        <v>1.6222269970653696E-3</v>
      </c>
      <c r="AD76" s="486">
        <v>1.5807197601227264E-3</v>
      </c>
      <c r="AE76" s="452">
        <v>1.6335302180520246E-3</v>
      </c>
      <c r="AF76" s="452">
        <v>2.0231052231744718E-3</v>
      </c>
      <c r="AG76" s="452">
        <v>1.9980818329535452E-3</v>
      </c>
      <c r="AH76" s="452">
        <v>2.0189117429764369E-3</v>
      </c>
      <c r="AI76" s="452">
        <v>1.9412620662569986E-3</v>
      </c>
      <c r="AJ76" s="452">
        <v>2.0208730911167113E-3</v>
      </c>
      <c r="AK76" s="452">
        <v>1.075817170052139E-2</v>
      </c>
      <c r="AL76" s="452">
        <v>9.4186959389733864E-3</v>
      </c>
      <c r="AM76" s="452">
        <v>1.1021708727629738E-2</v>
      </c>
      <c r="AN76" s="452">
        <v>8.4813607729716557E-3</v>
      </c>
      <c r="AO76" s="452">
        <v>9.9072728144896996E-3</v>
      </c>
      <c r="AP76" s="452">
        <v>1.2374130374890288E-2</v>
      </c>
      <c r="AQ76" s="452">
        <v>1.2241273099255627E-2</v>
      </c>
      <c r="AR76" s="448">
        <v>1.2575775426446041E-2</v>
      </c>
      <c r="AS76" s="452">
        <v>1.153930585097618E-2</v>
      </c>
      <c r="AT76" s="453">
        <v>1.2762098768663931E-2</v>
      </c>
    </row>
    <row r="77" spans="2:46" x14ac:dyDescent="0.3">
      <c r="B77" s="450" t="s">
        <v>303</v>
      </c>
      <c r="C77" s="451">
        <v>40</v>
      </c>
      <c r="D77" s="452">
        <v>7.3650921552711138E-3</v>
      </c>
      <c r="E77" s="452">
        <v>7.3545684739731417E-3</v>
      </c>
      <c r="F77" s="503">
        <v>7.5059711503961714E-3</v>
      </c>
      <c r="G77" s="486">
        <v>7.1867191975326572E-3</v>
      </c>
      <c r="H77" s="486">
        <v>7.4779533819796214E-3</v>
      </c>
      <c r="I77" s="452">
        <v>9.0199238704617071E-3</v>
      </c>
      <c r="J77" s="452">
        <v>8.8432672717364859E-3</v>
      </c>
      <c r="K77" s="452">
        <v>9.069714633894459E-3</v>
      </c>
      <c r="L77" s="452">
        <v>8.5687609236329548E-3</v>
      </c>
      <c r="M77" s="452">
        <v>8.9818259775888525E-3</v>
      </c>
      <c r="N77" s="452">
        <v>1.2149441053602125E-2</v>
      </c>
      <c r="O77" s="452">
        <v>1.0567323689937309E-2</v>
      </c>
      <c r="P77" s="452">
        <v>1.2592942438546671E-2</v>
      </c>
      <c r="Q77" s="452">
        <v>9.4852109317356027E-3</v>
      </c>
      <c r="R77" s="452">
        <v>1.1174858887012301E-2</v>
      </c>
      <c r="S77" s="452">
        <v>1.5168040163327361E-2</v>
      </c>
      <c r="T77" s="475">
        <v>1.4853373399144708E-2</v>
      </c>
      <c r="U77" s="509">
        <v>1.53982088891174E-2</v>
      </c>
      <c r="V77" s="486">
        <v>1.3781851072364969E-2</v>
      </c>
      <c r="W77" s="497">
        <v>1.5423446989706038E-2</v>
      </c>
      <c r="Y77" s="450" t="s">
        <v>303</v>
      </c>
      <c r="Z77" s="451">
        <v>40</v>
      </c>
      <c r="AA77" s="452">
        <v>1.5719793298847374E-3</v>
      </c>
      <c r="AB77" s="475">
        <v>1.56463446730719E-3</v>
      </c>
      <c r="AC77" s="509">
        <v>1.5992676374399666E-3</v>
      </c>
      <c r="AD77" s="486">
        <v>1.5274885193564379E-3</v>
      </c>
      <c r="AE77" s="452">
        <v>1.5912929425236774E-3</v>
      </c>
      <c r="AF77" s="452">
        <v>1.9823275751075426E-3</v>
      </c>
      <c r="AG77" s="452">
        <v>1.9378424766822336E-3</v>
      </c>
      <c r="AH77" s="452">
        <v>1.9903381088039085E-3</v>
      </c>
      <c r="AI77" s="452">
        <v>1.875889448639208E-3</v>
      </c>
      <c r="AJ77" s="452">
        <v>1.9686205079602727E-3</v>
      </c>
      <c r="AK77" s="452">
        <v>1.0283728751960644E-2</v>
      </c>
      <c r="AL77" s="452">
        <v>9.0180575534875625E-3</v>
      </c>
      <c r="AM77" s="452">
        <v>1.06534807102987E-2</v>
      </c>
      <c r="AN77" s="452">
        <v>8.1205933473298703E-3</v>
      </c>
      <c r="AO77" s="452">
        <v>9.5155670719872677E-3</v>
      </c>
      <c r="AP77" s="452">
        <v>1.2012218811202116E-2</v>
      </c>
      <c r="AQ77" s="452">
        <v>1.1849412681882446E-2</v>
      </c>
      <c r="AR77" s="448">
        <v>1.2292861918459573E-2</v>
      </c>
      <c r="AS77" s="452">
        <v>1.1169916379452664E-2</v>
      </c>
      <c r="AT77" s="453">
        <v>1.2394306654199445E-2</v>
      </c>
    </row>
    <row r="78" spans="2:46" x14ac:dyDescent="0.3">
      <c r="B78" s="450" t="s">
        <v>303</v>
      </c>
      <c r="C78" s="451">
        <v>45</v>
      </c>
      <c r="D78" s="452">
        <v>7.2382441503795565E-3</v>
      </c>
      <c r="E78" s="452">
        <v>7.1713192468503342E-3</v>
      </c>
      <c r="F78" s="503">
        <v>7.3989752118087792E-3</v>
      </c>
      <c r="G78" s="486">
        <v>6.9950409215230264E-3</v>
      </c>
      <c r="H78" s="486">
        <v>7.3159708855707129E-3</v>
      </c>
      <c r="I78" s="452">
        <v>8.8645749185245707E-3</v>
      </c>
      <c r="J78" s="452">
        <v>8.6229250587948354E-3</v>
      </c>
      <c r="K78" s="452">
        <v>8.9404278819833326E-3</v>
      </c>
      <c r="L78" s="452">
        <v>8.3402219650015198E-3</v>
      </c>
      <c r="M78" s="452">
        <v>8.7872675844239204E-3</v>
      </c>
      <c r="N78" s="452">
        <v>1.1713088385474744E-2</v>
      </c>
      <c r="O78" s="452">
        <v>1.0203625115359669E-2</v>
      </c>
      <c r="P78" s="452">
        <v>1.2244544096055682E-2</v>
      </c>
      <c r="Q78" s="452">
        <v>9.1587557386647641E-3</v>
      </c>
      <c r="R78" s="452">
        <v>1.0814936508110468E-2</v>
      </c>
      <c r="S78" s="452">
        <v>1.4891824752762474E-2</v>
      </c>
      <c r="T78" s="475">
        <v>1.4550260027137742E-2</v>
      </c>
      <c r="U78" s="509">
        <v>1.5199645322449292E-2</v>
      </c>
      <c r="V78" s="486">
        <v>1.350060429841763E-2</v>
      </c>
      <c r="W78" s="497">
        <v>1.5147741683399147E-2</v>
      </c>
      <c r="Y78" s="450" t="s">
        <v>303</v>
      </c>
      <c r="Z78" s="451">
        <v>45</v>
      </c>
      <c r="AA78" s="452">
        <v>1.5456158351163426E-3</v>
      </c>
      <c r="AB78" s="475">
        <v>1.5268060345272939E-3</v>
      </c>
      <c r="AC78" s="509">
        <v>1.5772286468070419E-3</v>
      </c>
      <c r="AD78" s="486">
        <v>1.4879294088801928E-3</v>
      </c>
      <c r="AE78" s="452">
        <v>1.5578526720253906E-3</v>
      </c>
      <c r="AF78" s="452">
        <v>1.9490821744447846E-3</v>
      </c>
      <c r="AG78" s="452">
        <v>1.8909909305870212E-3</v>
      </c>
      <c r="AH78" s="452">
        <v>1.9629099023490467E-3</v>
      </c>
      <c r="AI78" s="452">
        <v>1.8273074023589474E-3</v>
      </c>
      <c r="AJ78" s="452">
        <v>1.9272508766777616E-3</v>
      </c>
      <c r="AK78" s="452">
        <v>9.9055273195711082E-3</v>
      </c>
      <c r="AL78" s="452">
        <v>8.7060200139153828E-3</v>
      </c>
      <c r="AM78" s="452">
        <v>1.0350724841579282E-2</v>
      </c>
      <c r="AN78" s="452">
        <v>7.839609337975539E-3</v>
      </c>
      <c r="AO78" s="452">
        <v>9.2048339754445766E-3</v>
      </c>
      <c r="AP78" s="452">
        <v>1.1731524674738014E-2</v>
      </c>
      <c r="AQ78" s="452">
        <v>1.1543772668395439E-2</v>
      </c>
      <c r="AR78" s="448">
        <v>1.2077647691733296E-2</v>
      </c>
      <c r="AS78" s="452">
        <v>1.0881803066588595E-2</v>
      </c>
      <c r="AT78" s="453">
        <v>1.2109297417513085E-2</v>
      </c>
    </row>
    <row r="79" spans="2:46" x14ac:dyDescent="0.3">
      <c r="B79" s="450" t="s">
        <v>303</v>
      </c>
      <c r="C79" s="451">
        <v>50</v>
      </c>
      <c r="D79" s="452">
        <v>7.0607272166822981E-3</v>
      </c>
      <c r="E79" s="452">
        <v>7.0376431306978099E-3</v>
      </c>
      <c r="F79" s="503">
        <v>7.2216876078109197E-3</v>
      </c>
      <c r="G79" s="486">
        <v>6.8582369509886344E-3</v>
      </c>
      <c r="H79" s="486">
        <v>7.160705167964276E-3</v>
      </c>
      <c r="I79" s="452">
        <v>8.6471724483435115E-3</v>
      </c>
      <c r="J79" s="452">
        <v>8.4621904586387724E-3</v>
      </c>
      <c r="K79" s="452">
        <v>8.7262053724413667E-3</v>
      </c>
      <c r="L79" s="452">
        <v>8.1771099127989823E-3</v>
      </c>
      <c r="M79" s="452">
        <v>8.6007767647315828E-3</v>
      </c>
      <c r="N79" s="452">
        <v>1.1296760031488603E-2</v>
      </c>
      <c r="O79" s="452">
        <v>1.0567452299175316E-2</v>
      </c>
      <c r="P79" s="452">
        <v>1.1889884502327461E-2</v>
      </c>
      <c r="Q79" s="452">
        <v>9.4853263711586842E-3</v>
      </c>
      <c r="R79" s="452">
        <v>1.0888205408577271E-2</v>
      </c>
      <c r="S79" s="452">
        <v>1.4314464769749877E-2</v>
      </c>
      <c r="T79" s="475">
        <v>1.3954017934719136E-2</v>
      </c>
      <c r="U79" s="509">
        <v>1.4691124155231265E-2</v>
      </c>
      <c r="V79" s="486">
        <v>1.2947375109344083E-2</v>
      </c>
      <c r="W79" s="497">
        <v>1.4565601648707564E-2</v>
      </c>
      <c r="Y79" s="450" t="s">
        <v>303</v>
      </c>
      <c r="Z79" s="451">
        <v>50</v>
      </c>
      <c r="AA79" s="452">
        <v>1.5081490774266535E-3</v>
      </c>
      <c r="AB79" s="475">
        <v>1.4993030802338662E-3</v>
      </c>
      <c r="AC79" s="509">
        <v>1.539886534471893E-3</v>
      </c>
      <c r="AD79" s="486">
        <v>1.4594133637139601E-3</v>
      </c>
      <c r="AE79" s="452">
        <v>1.5253954117186513E-3</v>
      </c>
      <c r="AF79" s="452">
        <v>1.9018351238594636E-3</v>
      </c>
      <c r="AG79" s="452">
        <v>1.8569277713139291E-3</v>
      </c>
      <c r="AH79" s="452">
        <v>1.9164364869531988E-3</v>
      </c>
      <c r="AI79" s="452">
        <v>1.792287205764087E-3</v>
      </c>
      <c r="AJ79" s="452">
        <v>1.8870973470764062E-3</v>
      </c>
      <c r="AK79" s="452">
        <v>9.5491769648208807E-3</v>
      </c>
      <c r="AL79" s="452">
        <v>8.9888736283460346E-3</v>
      </c>
      <c r="AM79" s="452">
        <v>1.0047278098971116E-2</v>
      </c>
      <c r="AN79" s="452">
        <v>8.0943133214343051E-3</v>
      </c>
      <c r="AO79" s="452">
        <v>9.2500375176233322E-3</v>
      </c>
      <c r="AP79" s="452">
        <v>1.1172014508597982E-2</v>
      </c>
      <c r="AQ79" s="452">
        <v>1.0963338664538842E-2</v>
      </c>
      <c r="AR79" s="448">
        <v>1.1576529040204772E-2</v>
      </c>
      <c r="AS79" s="452">
        <v>1.0334653658380313E-2</v>
      </c>
      <c r="AT79" s="453">
        <v>1.1536575512222641E-2</v>
      </c>
    </row>
    <row r="80" spans="2:46" x14ac:dyDescent="0.3">
      <c r="B80" s="450" t="s">
        <v>303</v>
      </c>
      <c r="C80" s="451">
        <v>55</v>
      </c>
      <c r="D80" s="452">
        <v>6.9005984987729248E-3</v>
      </c>
      <c r="E80" s="452">
        <v>6.9798212215515026E-3</v>
      </c>
      <c r="F80" s="503">
        <v>7.0706558360207035E-3</v>
      </c>
      <c r="G80" s="486">
        <v>6.7929638453393193E-3</v>
      </c>
      <c r="H80" s="486">
        <v>7.0603321882313358E-3</v>
      </c>
      <c r="I80" s="452">
        <v>8.4510650793429096E-3</v>
      </c>
      <c r="J80" s="452">
        <v>8.3926643404780132E-3</v>
      </c>
      <c r="K80" s="452">
        <v>8.5437086583797315E-3</v>
      </c>
      <c r="L80" s="452">
        <v>8.099284465375901E-3</v>
      </c>
      <c r="M80" s="452">
        <v>8.4802180248247719E-3</v>
      </c>
      <c r="N80" s="452">
        <v>1.0948873242921431E-2</v>
      </c>
      <c r="O80" s="452">
        <v>1.0865149120508922E-2</v>
      </c>
      <c r="P80" s="452">
        <v>1.1574473083053871E-2</v>
      </c>
      <c r="Q80" s="452">
        <v>9.7525385080165037E-3</v>
      </c>
      <c r="R80" s="452">
        <v>1.0939795148239317E-2</v>
      </c>
      <c r="S80" s="452">
        <v>1.3676351389937556E-2</v>
      </c>
      <c r="T80" s="475">
        <v>1.3305860245920002E-2</v>
      </c>
      <c r="U80" s="509">
        <v>1.4101973211008607E-2</v>
      </c>
      <c r="V80" s="486">
        <v>1.2345975518223858E-2</v>
      </c>
      <c r="W80" s="497">
        <v>1.3920503077426391E-2</v>
      </c>
      <c r="Y80" s="450" t="s">
        <v>303</v>
      </c>
      <c r="Z80" s="451">
        <v>55</v>
      </c>
      <c r="AA80" s="452">
        <v>1.4743123595057366E-3</v>
      </c>
      <c r="AB80" s="475">
        <v>1.4878196194340969E-3</v>
      </c>
      <c r="AC80" s="509">
        <v>1.5081389929790362E-3</v>
      </c>
      <c r="AD80" s="486">
        <v>1.4461169707571438E-3</v>
      </c>
      <c r="AE80" s="452">
        <v>1.5045988859811136E-3</v>
      </c>
      <c r="AF80" s="452">
        <v>1.85916569576292E-3</v>
      </c>
      <c r="AG80" s="452">
        <v>1.8427051918028137E-3</v>
      </c>
      <c r="AH80" s="452">
        <v>1.8769256882508537E-3</v>
      </c>
      <c r="AI80" s="452">
        <v>1.7759580727221174E-3</v>
      </c>
      <c r="AJ80" s="452">
        <v>1.8613695467656025E-3</v>
      </c>
      <c r="AK80" s="452">
        <v>9.2514454598403434E-3</v>
      </c>
      <c r="AL80" s="452">
        <v>9.2203068086754662E-3</v>
      </c>
      <c r="AM80" s="452">
        <v>9.7775679821854224E-3</v>
      </c>
      <c r="AN80" s="452">
        <v>8.3027150455381657E-3</v>
      </c>
      <c r="AO80" s="452">
        <v>9.2798889488570156E-3</v>
      </c>
      <c r="AP80" s="452">
        <v>1.061056981198347E-2</v>
      </c>
      <c r="AQ80" s="452">
        <v>1.0388617647948345E-2</v>
      </c>
      <c r="AR80" s="448">
        <v>1.1054398571534492E-2</v>
      </c>
      <c r="AS80" s="452">
        <v>9.7928896174644519E-3</v>
      </c>
      <c r="AT80" s="453">
        <v>1.0960654899641117E-2</v>
      </c>
    </row>
    <row r="81" spans="2:46" x14ac:dyDescent="0.3">
      <c r="B81" s="450" t="s">
        <v>303</v>
      </c>
      <c r="C81" s="451">
        <v>60</v>
      </c>
      <c r="D81" s="452">
        <v>6.8240766461204593E-3</v>
      </c>
      <c r="E81" s="452">
        <v>6.9316379137769248E-3</v>
      </c>
      <c r="F81" s="503">
        <v>7.0023875556121185E-3</v>
      </c>
      <c r="G81" s="486">
        <v>6.7941978180676346E-3</v>
      </c>
      <c r="H81" s="486">
        <v>7.0247184442168171E-3</v>
      </c>
      <c r="I81" s="452">
        <v>8.3573498520517035E-3</v>
      </c>
      <c r="J81" s="452">
        <v>8.3347278524033078E-3</v>
      </c>
      <c r="K81" s="452">
        <v>8.4612178241563838E-3</v>
      </c>
      <c r="L81" s="452">
        <v>8.1007557371766473E-3</v>
      </c>
      <c r="M81" s="452">
        <v>8.4374420893770282E-3</v>
      </c>
      <c r="N81" s="452">
        <v>1.0753893938436215E-2</v>
      </c>
      <c r="O81" s="452">
        <v>1.0709937351033259E-2</v>
      </c>
      <c r="P81" s="452">
        <v>1.1390104037016575E-2</v>
      </c>
      <c r="Q81" s="452">
        <v>9.6132207000490522E-3</v>
      </c>
      <c r="R81" s="452">
        <v>1.0774482409099617E-2</v>
      </c>
      <c r="S81" s="452">
        <v>1.3570063359582824E-2</v>
      </c>
      <c r="T81" s="475">
        <v>1.3200235964811246E-2</v>
      </c>
      <c r="U81" s="509">
        <v>1.3997870617237798E-2</v>
      </c>
      <c r="V81" s="486">
        <v>1.2247970969185144E-2</v>
      </c>
      <c r="W81" s="497">
        <v>1.3812647903009527E-2</v>
      </c>
      <c r="Y81" s="450" t="s">
        <v>303</v>
      </c>
      <c r="Z81" s="451">
        <v>60</v>
      </c>
      <c r="AA81" s="452">
        <v>1.4584213942658117E-3</v>
      </c>
      <c r="AB81" s="475">
        <v>1.4782485229663464E-3</v>
      </c>
      <c r="AC81" s="509">
        <v>1.4941338997285327E-3</v>
      </c>
      <c r="AD81" s="486">
        <v>1.4469969125929282E-3</v>
      </c>
      <c r="AE81" s="452">
        <v>1.4976216611445675E-3</v>
      </c>
      <c r="AF81" s="452">
        <v>1.8391265654821875E-3</v>
      </c>
      <c r="AG81" s="452">
        <v>1.8308511276931617E-3</v>
      </c>
      <c r="AH81" s="452">
        <v>1.8594959159217827E-3</v>
      </c>
      <c r="AI81" s="452">
        <v>1.7770387182289391E-3</v>
      </c>
      <c r="AJ81" s="452">
        <v>1.8527378815738431E-3</v>
      </c>
      <c r="AK81" s="452">
        <v>9.0988557202231583E-3</v>
      </c>
      <c r="AL81" s="452">
        <v>9.1000011021366428E-3</v>
      </c>
      <c r="AM81" s="452">
        <v>9.6335863813335199E-3</v>
      </c>
      <c r="AN81" s="452">
        <v>8.1943819910671213E-3</v>
      </c>
      <c r="AO81" s="452">
        <v>9.1510989725690165E-3</v>
      </c>
      <c r="AP81" s="452">
        <v>1.0735536015498834E-2</v>
      </c>
      <c r="AQ81" s="452">
        <v>1.0516914429859209E-2</v>
      </c>
      <c r="AR81" s="448">
        <v>1.1169663970116371E-2</v>
      </c>
      <c r="AS81" s="452">
        <v>9.9138293099605129E-3</v>
      </c>
      <c r="AT81" s="453">
        <v>1.1088779951966098E-2</v>
      </c>
    </row>
    <row r="82" spans="2:46" x14ac:dyDescent="0.3">
      <c r="B82" s="450" t="s">
        <v>303</v>
      </c>
      <c r="C82" s="451">
        <v>65</v>
      </c>
      <c r="D82" s="452">
        <v>6.9485787345855039E-3</v>
      </c>
      <c r="E82" s="452">
        <v>6.9766027576862698E-3</v>
      </c>
      <c r="F82" s="503">
        <v>7.0912415325146225E-3</v>
      </c>
      <c r="G82" s="486">
        <v>6.8692543896557391E-3</v>
      </c>
      <c r="H82" s="486">
        <v>7.1046882404907866E-3</v>
      </c>
      <c r="I82" s="452">
        <v>8.5098257934239328E-3</v>
      </c>
      <c r="J82" s="452">
        <v>8.3887944008254819E-3</v>
      </c>
      <c r="K82" s="452">
        <v>8.5685830402550123E-3</v>
      </c>
      <c r="L82" s="452">
        <v>8.1902460595349794E-3</v>
      </c>
      <c r="M82" s="452">
        <v>8.5334944123731746E-3</v>
      </c>
      <c r="N82" s="452">
        <v>1.1536115372601956E-2</v>
      </c>
      <c r="O82" s="452">
        <v>1.1530761273631914E-2</v>
      </c>
      <c r="P82" s="452">
        <v>1.2117200148053854E-2</v>
      </c>
      <c r="Q82" s="452">
        <v>1.0349990791711595E-2</v>
      </c>
      <c r="R82" s="452">
        <v>1.1551875420970078E-2</v>
      </c>
      <c r="S82" s="452">
        <v>1.4516602995301343E-2</v>
      </c>
      <c r="T82" s="475">
        <v>1.4159854466579634E-2</v>
      </c>
      <c r="U82" s="509">
        <v>1.4876430586040124E-2</v>
      </c>
      <c r="V82" s="486">
        <v>1.3138362594212548E-2</v>
      </c>
      <c r="W82" s="497">
        <v>1.4769862722522847E-2</v>
      </c>
      <c r="Y82" s="450" t="s">
        <v>303</v>
      </c>
      <c r="Z82" s="451">
        <v>65</v>
      </c>
      <c r="AA82" s="452">
        <v>1.4858144604874182E-3</v>
      </c>
      <c r="AB82" s="475">
        <v>1.488434331178525E-3</v>
      </c>
      <c r="AC82" s="509">
        <v>1.5139336274635797E-3</v>
      </c>
      <c r="AD82" s="486">
        <v>1.4635182782132198E-3</v>
      </c>
      <c r="AE82" s="452">
        <v>1.5153444161169645E-3</v>
      </c>
      <c r="AF82" s="452">
        <v>1.8736702961187853E-3</v>
      </c>
      <c r="AG82" s="452">
        <v>1.8434665290698613E-3</v>
      </c>
      <c r="AH82" s="452">
        <v>1.884137290343695E-3</v>
      </c>
      <c r="AI82" s="452">
        <v>1.7973283996579514E-3</v>
      </c>
      <c r="AJ82" s="452">
        <v>1.8746630582423725E-3</v>
      </c>
      <c r="AK82" s="452">
        <v>9.7556645727516177E-3</v>
      </c>
      <c r="AL82" s="452">
        <v>9.7919380773996006E-3</v>
      </c>
      <c r="AM82" s="452">
        <v>1.0244340105979138E-2</v>
      </c>
      <c r="AN82" s="452">
        <v>8.8174583869278771E-3</v>
      </c>
      <c r="AO82" s="452">
        <v>9.8063774888389032E-3</v>
      </c>
      <c r="AP82" s="452">
        <v>1.1366145882681328E-2</v>
      </c>
      <c r="AQ82" s="452">
        <v>1.1162491124321756E-2</v>
      </c>
      <c r="AR82" s="448">
        <v>1.1756004250891178E-2</v>
      </c>
      <c r="AS82" s="452">
        <v>1.0522385859331799E-2</v>
      </c>
      <c r="AT82" s="453">
        <v>1.1735648308018093E-2</v>
      </c>
    </row>
    <row r="83" spans="2:46" x14ac:dyDescent="0.3">
      <c r="B83" s="450" t="s">
        <v>303</v>
      </c>
      <c r="C83" s="451">
        <v>70</v>
      </c>
      <c r="D83" s="452">
        <v>7.2363685736316378E-3</v>
      </c>
      <c r="E83" s="452">
        <v>7.2326022914586873E-3</v>
      </c>
      <c r="F83" s="503">
        <v>7.3303479476598942E-3</v>
      </c>
      <c r="G83" s="486">
        <v>7.1213147067805387E-3</v>
      </c>
      <c r="H83" s="486">
        <v>7.3614695681667721E-3</v>
      </c>
      <c r="I83" s="452">
        <v>8.8622779262911029E-3</v>
      </c>
      <c r="J83" s="452">
        <v>8.696612909362177E-3</v>
      </c>
      <c r="K83" s="452">
        <v>8.8575032757646655E-3</v>
      </c>
      <c r="L83" s="452">
        <v>8.490778825100527E-3</v>
      </c>
      <c r="M83" s="452">
        <v>8.8419163938524663E-3</v>
      </c>
      <c r="N83" s="452">
        <v>1.2281715008207668E-2</v>
      </c>
      <c r="O83" s="452">
        <v>1.2313802546189721E-2</v>
      </c>
      <c r="P83" s="452">
        <v>1.2808586673417312E-2</v>
      </c>
      <c r="Q83" s="452">
        <v>1.105284724395959E-2</v>
      </c>
      <c r="R83" s="452">
        <v>1.2292743919394427E-2</v>
      </c>
      <c r="S83" s="452">
        <v>1.5332952075349517E-2</v>
      </c>
      <c r="T83" s="475">
        <v>1.4988063441047724E-2</v>
      </c>
      <c r="U83" s="509">
        <v>1.5633017007826013E-2</v>
      </c>
      <c r="V83" s="486">
        <v>1.3906824574966097E-2</v>
      </c>
      <c r="W83" s="497">
        <v>1.5595427717340019E-2</v>
      </c>
      <c r="Y83" s="450" t="s">
        <v>303</v>
      </c>
      <c r="Z83" s="451">
        <v>70</v>
      </c>
      <c r="AA83" s="452">
        <v>1.547898697567077E-3</v>
      </c>
      <c r="AB83" s="475">
        <v>1.5435377934108442E-3</v>
      </c>
      <c r="AC83" s="509">
        <v>1.5656331921989834E-3</v>
      </c>
      <c r="AD83" s="486">
        <v>1.5176993249276273E-3</v>
      </c>
      <c r="AE83" s="452">
        <v>1.5706631875463241E-3</v>
      </c>
      <c r="AF83" s="452">
        <v>1.9519609535102831E-3</v>
      </c>
      <c r="AG83" s="452">
        <v>1.9117136704675708E-3</v>
      </c>
      <c r="AH83" s="452">
        <v>1.9484789999440755E-3</v>
      </c>
      <c r="AI83" s="452">
        <v>1.863867462020663E-3</v>
      </c>
      <c r="AJ83" s="452">
        <v>1.9430990231114769E-3</v>
      </c>
      <c r="AK83" s="452">
        <v>1.0380911502292799E-2</v>
      </c>
      <c r="AL83" s="452">
        <v>1.0451113560773981E-2</v>
      </c>
      <c r="AM83" s="452">
        <v>1.0824445581272709E-2</v>
      </c>
      <c r="AN83" s="452">
        <v>9.4110336677756742E-3</v>
      </c>
      <c r="AO83" s="452">
        <v>1.0430056769900036E-2</v>
      </c>
      <c r="AP83" s="452">
        <v>1.1910747510767769E-2</v>
      </c>
      <c r="AQ83" s="452">
        <v>1.1720360447616391E-2</v>
      </c>
      <c r="AR83" s="448">
        <v>1.2261502310130718E-2</v>
      </c>
      <c r="AS83" s="452">
        <v>1.104826455553492E-2</v>
      </c>
      <c r="AT83" s="453">
        <v>1.2294231458300053E-2</v>
      </c>
    </row>
    <row r="84" spans="2:46" ht="15" thickBot="1" x14ac:dyDescent="0.35">
      <c r="B84" s="454" t="s">
        <v>303</v>
      </c>
      <c r="C84" s="455">
        <v>75</v>
      </c>
      <c r="D84" s="456">
        <v>7.6339886669040229E-3</v>
      </c>
      <c r="E84" s="456">
        <v>7.6435039884625855E-3</v>
      </c>
      <c r="F84" s="504">
        <v>7.6772012137353495E-3</v>
      </c>
      <c r="G84" s="487">
        <v>7.5258940473431936E-3</v>
      </c>
      <c r="H84" s="487">
        <v>7.7565748325250225E-3</v>
      </c>
      <c r="I84" s="456">
        <v>9.3492376132946076E-3</v>
      </c>
      <c r="J84" s="456">
        <v>9.1906886042006711E-3</v>
      </c>
      <c r="K84" s="456">
        <v>9.2766176155490102E-3</v>
      </c>
      <c r="L84" s="456">
        <v>8.9731607783445997E-3</v>
      </c>
      <c r="M84" s="456">
        <v>9.3164802946982331E-3</v>
      </c>
      <c r="N84" s="456">
        <v>1.3174311023485851E-2</v>
      </c>
      <c r="O84" s="456">
        <v>1.3251525562256335E-2</v>
      </c>
      <c r="P84" s="456">
        <v>1.363558843070458E-2</v>
      </c>
      <c r="Q84" s="456">
        <v>1.1894545753810755E-2</v>
      </c>
      <c r="R84" s="456">
        <v>1.3179643562342327E-2</v>
      </c>
      <c r="S84" s="456">
        <v>1.6396027497422763E-2</v>
      </c>
      <c r="T84" s="476">
        <v>1.6064776198993685E-2</v>
      </c>
      <c r="U84" s="510">
        <v>1.6622309810510171E-2</v>
      </c>
      <c r="V84" s="486">
        <v>1.4905863276758096E-2</v>
      </c>
      <c r="W84" s="498">
        <v>1.6670636534726418E-2</v>
      </c>
      <c r="Y84" s="454" t="s">
        <v>303</v>
      </c>
      <c r="Z84" s="455">
        <v>75</v>
      </c>
      <c r="AA84" s="456">
        <v>1.6334764722361335E-3</v>
      </c>
      <c r="AB84" s="476">
        <v>1.63179131268487E-3</v>
      </c>
      <c r="AC84" s="510">
        <v>1.6402976251069542E-3</v>
      </c>
      <c r="AD84" s="487">
        <v>1.6044749443506457E-3</v>
      </c>
      <c r="AE84" s="456">
        <v>1.6555364078898944E-3</v>
      </c>
      <c r="AF84" s="456">
        <v>2.0598778830256659E-3</v>
      </c>
      <c r="AG84" s="456">
        <v>2.0210180619656291E-3</v>
      </c>
      <c r="AH84" s="456">
        <v>2.0414011992745461E-3</v>
      </c>
      <c r="AI84" s="456">
        <v>1.9704355093820634E-3</v>
      </c>
      <c r="AJ84" s="456">
        <v>2.0480973912183581E-3</v>
      </c>
      <c r="AK84" s="456">
        <v>1.1147362857814478E-2</v>
      </c>
      <c r="AL84" s="456">
        <v>1.1259395629024154E-2</v>
      </c>
      <c r="AM84" s="456">
        <v>1.1535093467979171E-2</v>
      </c>
      <c r="AN84" s="456">
        <v>1.0138876659159109E-2</v>
      </c>
      <c r="AO84" s="456">
        <v>1.1194584768513522E-2</v>
      </c>
      <c r="AP84" s="456">
        <v>1.2671593237243596E-2</v>
      </c>
      <c r="AQ84" s="456">
        <v>1.249804748823747E-2</v>
      </c>
      <c r="AR84" s="449">
        <v>1.2972122336773157E-2</v>
      </c>
      <c r="AS84" s="456">
        <v>1.1781355660806925E-2</v>
      </c>
      <c r="AT84" s="457">
        <v>1.3074932408407127E-2</v>
      </c>
    </row>
    <row r="85" spans="2:46" x14ac:dyDescent="0.3">
      <c r="B85" s="555" t="s">
        <v>33</v>
      </c>
      <c r="C85" s="556">
        <v>2.5</v>
      </c>
      <c r="D85" s="557">
        <v>22.66214183620718</v>
      </c>
      <c r="E85" s="557">
        <v>19.620379107998549</v>
      </c>
      <c r="F85" s="499">
        <v>27.139476495945402</v>
      </c>
      <c r="G85" s="564">
        <v>18.852177666672119</v>
      </c>
      <c r="H85" s="564">
        <v>21.741594293168262</v>
      </c>
      <c r="I85" s="557">
        <v>37.564976335144308</v>
      </c>
      <c r="J85" s="557">
        <v>31.808256695299914</v>
      </c>
      <c r="K85" s="557">
        <v>44.084688609995858</v>
      </c>
      <c r="L85" s="557">
        <v>30.182345661071309</v>
      </c>
      <c r="M85" s="557">
        <v>35.140573683349182</v>
      </c>
      <c r="N85" s="557">
        <v>26.667903069107023</v>
      </c>
      <c r="O85" s="557">
        <v>20.932708694661557</v>
      </c>
      <c r="P85" s="557">
        <v>27.016895389308399</v>
      </c>
      <c r="Q85" s="557">
        <v>17.95605273430585</v>
      </c>
      <c r="R85" s="557">
        <v>21.793110703565858</v>
      </c>
      <c r="S85" s="557">
        <v>14.335774293804587</v>
      </c>
      <c r="T85" s="565">
        <v>14.23626470192251</v>
      </c>
      <c r="U85" s="505">
        <v>15.241535855499178</v>
      </c>
      <c r="V85" s="526">
        <v>13.468208595345617</v>
      </c>
      <c r="W85" s="569">
        <v>14.462270829525099</v>
      </c>
      <c r="Y85" s="440" t="s">
        <v>33</v>
      </c>
      <c r="Z85" s="536">
        <v>2.5</v>
      </c>
      <c r="AA85" s="537">
        <v>12.594826532326056</v>
      </c>
      <c r="AB85" s="539">
        <v>9.9172527012742542</v>
      </c>
      <c r="AC85" s="505">
        <v>15.273596197772809</v>
      </c>
      <c r="AD85" s="538">
        <v>9.5363976378168669</v>
      </c>
      <c r="AE85" s="537">
        <v>11.493912270100475</v>
      </c>
      <c r="AF85" s="537">
        <v>18.667676446879412</v>
      </c>
      <c r="AG85" s="537">
        <v>14.068443594303949</v>
      </c>
      <c r="AH85" s="537">
        <v>21.958425432347859</v>
      </c>
      <c r="AI85" s="537">
        <v>13.359684551131508</v>
      </c>
      <c r="AJ85" s="537">
        <v>16.358623225706069</v>
      </c>
      <c r="AK85" s="537">
        <v>8.3289919737091545</v>
      </c>
      <c r="AL85" s="537">
        <v>7.3181664839874427</v>
      </c>
      <c r="AM85" s="537">
        <v>8.8751308755031424</v>
      </c>
      <c r="AN85" s="537">
        <v>6.2283291849042612</v>
      </c>
      <c r="AO85" s="537">
        <v>7.3838273933249425</v>
      </c>
      <c r="AP85" s="537">
        <v>3.6779827116690194</v>
      </c>
      <c r="AQ85" s="537">
        <v>3.9010659492538866</v>
      </c>
      <c r="AR85" s="511">
        <v>4.0807621752633922</v>
      </c>
      <c r="AS85" s="537">
        <v>3.6661409446767266</v>
      </c>
      <c r="AT85" s="543">
        <v>3.9094584356567417</v>
      </c>
    </row>
    <row r="86" spans="2:46" x14ac:dyDescent="0.3">
      <c r="B86" s="558" t="s">
        <v>33</v>
      </c>
      <c r="C86" s="559">
        <v>5</v>
      </c>
      <c r="D86" s="560">
        <v>13.07341471771162</v>
      </c>
      <c r="E86" s="560">
        <v>11.779198618614373</v>
      </c>
      <c r="F86" s="500">
        <v>15.656315012829467</v>
      </c>
      <c r="G86" s="526">
        <v>11.318004810549727</v>
      </c>
      <c r="H86" s="526">
        <v>13.05268140105199</v>
      </c>
      <c r="I86" s="560">
        <v>21.670613397438565</v>
      </c>
      <c r="J86" s="560">
        <v>19.096255544474456</v>
      </c>
      <c r="K86" s="560">
        <v>25.431727550960893</v>
      </c>
      <c r="L86" s="560">
        <v>18.120131235002383</v>
      </c>
      <c r="M86" s="560">
        <v>21.096829715154648</v>
      </c>
      <c r="N86" s="560">
        <v>13.333951688240399</v>
      </c>
      <c r="O86" s="560">
        <v>10.466354347330778</v>
      </c>
      <c r="P86" s="560">
        <v>13.508447850352326</v>
      </c>
      <c r="Q86" s="560">
        <v>8.9780263671529248</v>
      </c>
      <c r="R86" s="560">
        <v>10.896555351782929</v>
      </c>
      <c r="S86" s="560">
        <v>7.1678872295192342</v>
      </c>
      <c r="T86" s="566">
        <v>7.1181323509612549</v>
      </c>
      <c r="U86" s="506">
        <v>7.6207680155864246</v>
      </c>
      <c r="V86" s="526">
        <v>6.7341042976728085</v>
      </c>
      <c r="W86" s="570">
        <v>7.2311354147625497</v>
      </c>
      <c r="Y86" s="441" t="s">
        <v>33</v>
      </c>
      <c r="Z86" s="544">
        <v>5</v>
      </c>
      <c r="AA86" s="545">
        <v>7.2657470659575552</v>
      </c>
      <c r="AB86" s="546">
        <v>5.9538752373891182</v>
      </c>
      <c r="AC86" s="506">
        <v>8.8110849701471157</v>
      </c>
      <c r="AD86" s="540">
        <v>5.7252268808677753</v>
      </c>
      <c r="AE86" s="545">
        <v>6.9004311684909734</v>
      </c>
      <c r="AF86" s="545">
        <v>10.769073716421369</v>
      </c>
      <c r="AG86" s="545">
        <v>8.446064698338219</v>
      </c>
      <c r="AH86" s="545">
        <v>12.667452366147355</v>
      </c>
      <c r="AI86" s="545">
        <v>8.0205574491503686</v>
      </c>
      <c r="AJ86" s="545">
        <v>9.820986181868232</v>
      </c>
      <c r="AK86" s="545">
        <v>4.1644960348544835</v>
      </c>
      <c r="AL86" s="545">
        <v>3.6590832419937214</v>
      </c>
      <c r="AM86" s="545">
        <v>4.4375654888988709</v>
      </c>
      <c r="AN86" s="545">
        <v>3.1141645924521306</v>
      </c>
      <c r="AO86" s="545">
        <v>3.6919136966624713</v>
      </c>
      <c r="AP86" s="545">
        <v>1.8389913770306916</v>
      </c>
      <c r="AQ86" s="545">
        <v>1.9505329746269433</v>
      </c>
      <c r="AR86" s="512">
        <v>2.0403811111490922</v>
      </c>
      <c r="AS86" s="545">
        <v>1.8330704723383633</v>
      </c>
      <c r="AT86" s="548">
        <v>1.9547292178283708</v>
      </c>
    </row>
    <row r="87" spans="2:46" x14ac:dyDescent="0.3">
      <c r="B87" s="558" t="s">
        <v>33</v>
      </c>
      <c r="C87" s="559">
        <v>10</v>
      </c>
      <c r="D87" s="560">
        <v>8.2414227193503571</v>
      </c>
      <c r="E87" s="560">
        <v>7.8915458108089025</v>
      </c>
      <c r="F87" s="500">
        <v>9.8696716224591992</v>
      </c>
      <c r="G87" s="526">
        <v>7.5825662119546902</v>
      </c>
      <c r="H87" s="526">
        <v>8.7447233521911727</v>
      </c>
      <c r="I87" s="560">
        <v>13.661058679179581</v>
      </c>
      <c r="J87" s="560">
        <v>12.793652634907426</v>
      </c>
      <c r="K87" s="560">
        <v>16.032048378826687</v>
      </c>
      <c r="L87" s="560">
        <v>12.139692212415692</v>
      </c>
      <c r="M87" s="560">
        <v>14.133949477418847</v>
      </c>
      <c r="N87" s="560">
        <v>7.7822361294105997</v>
      </c>
      <c r="O87" s="560">
        <v>6.1085294677246296</v>
      </c>
      <c r="P87" s="560">
        <v>7.8840791815665909</v>
      </c>
      <c r="Q87" s="560">
        <v>5.2398893450180939</v>
      </c>
      <c r="R87" s="560">
        <v>6.3596097795058659</v>
      </c>
      <c r="S87" s="560">
        <v>4.1834703074784176</v>
      </c>
      <c r="T87" s="566">
        <v>4.1543903233220663</v>
      </c>
      <c r="U87" s="506">
        <v>4.4477899404013614</v>
      </c>
      <c r="V87" s="526">
        <v>3.9302581563709582</v>
      </c>
      <c r="W87" s="570">
        <v>4.2203428529485283</v>
      </c>
      <c r="Y87" s="441" t="s">
        <v>33</v>
      </c>
      <c r="Z87" s="544">
        <v>10</v>
      </c>
      <c r="AA87" s="545">
        <v>4.5802947611928309</v>
      </c>
      <c r="AB87" s="546">
        <v>3.9888349546502506</v>
      </c>
      <c r="AC87" s="506">
        <v>5.5544689297370997</v>
      </c>
      <c r="AD87" s="540">
        <v>3.8356505964883203</v>
      </c>
      <c r="AE87" s="545">
        <v>4.6229858620794575</v>
      </c>
      <c r="AF87" s="545">
        <v>6.7887763609788667</v>
      </c>
      <c r="AG87" s="545">
        <v>5.6584924531846035</v>
      </c>
      <c r="AH87" s="545">
        <v>7.9855058514451462</v>
      </c>
      <c r="AI87" s="545">
        <v>5.3734212816627318</v>
      </c>
      <c r="AJ87" s="545">
        <v>6.5796294697891149</v>
      </c>
      <c r="AK87" s="545">
        <v>2.430569141165726</v>
      </c>
      <c r="AL87" s="545">
        <v>2.1355686103133249</v>
      </c>
      <c r="AM87" s="545">
        <v>2.5899435727512876</v>
      </c>
      <c r="AN87" s="545">
        <v>1.8175350794605871</v>
      </c>
      <c r="AO87" s="545">
        <v>2.1547296087973868</v>
      </c>
      <c r="AP87" s="545">
        <v>1.0733101087072705</v>
      </c>
      <c r="AQ87" s="545">
        <v>1.1383990793619463</v>
      </c>
      <c r="AR87" s="512">
        <v>1.1908493425062672</v>
      </c>
      <c r="AS87" s="545">
        <v>1.0698438658873088</v>
      </c>
      <c r="AT87" s="548">
        <v>1.1408481532609394</v>
      </c>
    </row>
    <row r="88" spans="2:46" x14ac:dyDescent="0.3">
      <c r="B88" s="558" t="s">
        <v>33</v>
      </c>
      <c r="C88" s="559">
        <v>15</v>
      </c>
      <c r="D88" s="560">
        <v>6.6676848464734073</v>
      </c>
      <c r="E88" s="560">
        <v>6.6249449604024706</v>
      </c>
      <c r="F88" s="500">
        <v>7.9850120734890826</v>
      </c>
      <c r="G88" s="526">
        <v>6.3655568905147328</v>
      </c>
      <c r="H88" s="526">
        <v>7.3411866687591854</v>
      </c>
      <c r="I88" s="560">
        <v>11.052416196063032</v>
      </c>
      <c r="J88" s="560">
        <v>10.740258826436682</v>
      </c>
      <c r="K88" s="560">
        <v>12.970654421407662</v>
      </c>
      <c r="L88" s="560">
        <v>10.191259693800944</v>
      </c>
      <c r="M88" s="560">
        <v>11.865436709846731</v>
      </c>
      <c r="N88" s="560">
        <v>6.2562100240313603</v>
      </c>
      <c r="O88" s="560">
        <v>4.9107446648768294</v>
      </c>
      <c r="P88" s="560">
        <v>6.3380825749513123</v>
      </c>
      <c r="Q88" s="560">
        <v>4.2124309592923002</v>
      </c>
      <c r="R88" s="560">
        <v>5.1125921484733343</v>
      </c>
      <c r="S88" s="560">
        <v>3.3631296246553575</v>
      </c>
      <c r="T88" s="566">
        <v>3.3397809118974422</v>
      </c>
      <c r="U88" s="506">
        <v>3.5756185686481241</v>
      </c>
      <c r="V88" s="526">
        <v>3.1595974734941534</v>
      </c>
      <c r="W88" s="570">
        <v>3.3928012066687989</v>
      </c>
      <c r="Y88" s="441" t="s">
        <v>33</v>
      </c>
      <c r="Z88" s="544">
        <v>15</v>
      </c>
      <c r="AA88" s="545">
        <v>3.7056662437519448</v>
      </c>
      <c r="AB88" s="546">
        <v>3.348623028265572</v>
      </c>
      <c r="AC88" s="506">
        <v>4.4938173388507856</v>
      </c>
      <c r="AD88" s="540">
        <v>3.2200249099821598</v>
      </c>
      <c r="AE88" s="545">
        <v>3.880992092454929</v>
      </c>
      <c r="AF88" s="545">
        <v>5.4924280442398894</v>
      </c>
      <c r="AG88" s="545">
        <v>4.7502988590467581</v>
      </c>
      <c r="AH88" s="545">
        <v>6.4606364908439797</v>
      </c>
      <c r="AI88" s="545">
        <v>4.5109818904316743</v>
      </c>
      <c r="AJ88" s="545">
        <v>5.5235924801312075</v>
      </c>
      <c r="AK88" s="545">
        <v>1.9539565199769866</v>
      </c>
      <c r="AL88" s="545">
        <v>1.7168178061488477</v>
      </c>
      <c r="AM88" s="545">
        <v>2.0820790672602452</v>
      </c>
      <c r="AN88" s="545">
        <v>1.4611455575104573</v>
      </c>
      <c r="AO88" s="545">
        <v>1.732221639686278</v>
      </c>
      <c r="AP88" s="545">
        <v>0.86284370575853697</v>
      </c>
      <c r="AQ88" s="545">
        <v>0.91517725092676683</v>
      </c>
      <c r="AR88" s="512">
        <v>0.95733455909196574</v>
      </c>
      <c r="AS88" s="545">
        <v>0.86006461692887104</v>
      </c>
      <c r="AT88" s="548">
        <v>0.9171461006551529</v>
      </c>
    </row>
    <row r="89" spans="2:46" x14ac:dyDescent="0.3">
      <c r="B89" s="558" t="s">
        <v>33</v>
      </c>
      <c r="C89" s="559">
        <v>20</v>
      </c>
      <c r="D89" s="560">
        <v>5.7867794022407768</v>
      </c>
      <c r="E89" s="560">
        <v>5.8344894950124484</v>
      </c>
      <c r="F89" s="500">
        <v>6.9300671008693602</v>
      </c>
      <c r="G89" s="526">
        <v>5.6060503188476369</v>
      </c>
      <c r="H89" s="526">
        <v>6.4652728069153369</v>
      </c>
      <c r="I89" s="560">
        <v>9.592219167676733</v>
      </c>
      <c r="J89" s="560">
        <v>9.4587845893217306</v>
      </c>
      <c r="K89" s="560">
        <v>11.257028124099788</v>
      </c>
      <c r="L89" s="560">
        <v>8.9752893012432065</v>
      </c>
      <c r="M89" s="560">
        <v>10.449711846833232</v>
      </c>
      <c r="N89" s="560">
        <v>5.1414814569478899</v>
      </c>
      <c r="O89" s="560">
        <v>4.0357614837986278</v>
      </c>
      <c r="P89" s="560">
        <v>5.2087659951540903</v>
      </c>
      <c r="Q89" s="560">
        <v>3.4618714225287812</v>
      </c>
      <c r="R89" s="560">
        <v>4.2016443295769434</v>
      </c>
      <c r="S89" s="560">
        <v>2.7638887658914308</v>
      </c>
      <c r="T89" s="566">
        <v>2.7447077965515891</v>
      </c>
      <c r="U89" s="506">
        <v>2.9385165295292732</v>
      </c>
      <c r="V89" s="526">
        <v>2.5966289550823118</v>
      </c>
      <c r="W89" s="570">
        <v>2.7882810788336685</v>
      </c>
      <c r="Y89" s="441" t="s">
        <v>33</v>
      </c>
      <c r="Z89" s="544">
        <v>20</v>
      </c>
      <c r="AA89" s="545">
        <v>3.2160897799878079</v>
      </c>
      <c r="AB89" s="546">
        <v>2.9490819920691589</v>
      </c>
      <c r="AC89" s="506">
        <v>3.9001137895184561</v>
      </c>
      <c r="AD89" s="540">
        <v>2.8358275613248236</v>
      </c>
      <c r="AE89" s="545">
        <v>3.4179314287131906</v>
      </c>
      <c r="AF89" s="545">
        <v>4.7667924034393323</v>
      </c>
      <c r="AG89" s="545">
        <v>4.1835168377903305</v>
      </c>
      <c r="AH89" s="545">
        <v>5.6070853724220298</v>
      </c>
      <c r="AI89" s="545">
        <v>3.9727539789728428</v>
      </c>
      <c r="AJ89" s="545">
        <v>4.8645449120980242</v>
      </c>
      <c r="AK89" s="545">
        <v>1.6058014639141769</v>
      </c>
      <c r="AL89" s="545">
        <v>1.4109198603444315</v>
      </c>
      <c r="AM89" s="545">
        <v>1.7110951958290983</v>
      </c>
      <c r="AN89" s="545">
        <v>1.2008026003469843</v>
      </c>
      <c r="AO89" s="545">
        <v>1.4235790805514683</v>
      </c>
      <c r="AP89" s="545">
        <v>0.70910261905546934</v>
      </c>
      <c r="AQ89" s="545">
        <v>0.75211344759086463</v>
      </c>
      <c r="AR89" s="512">
        <v>0.78675713647078371</v>
      </c>
      <c r="AS89" s="545">
        <v>0.70682063341744084</v>
      </c>
      <c r="AT89" s="548">
        <v>0.75373149300830189</v>
      </c>
    </row>
    <row r="90" spans="2:46" x14ac:dyDescent="0.3">
      <c r="B90" s="558" t="s">
        <v>33</v>
      </c>
      <c r="C90" s="559">
        <v>25</v>
      </c>
      <c r="D90" s="560">
        <v>5.2503859910566115</v>
      </c>
      <c r="E90" s="560">
        <v>5.0089470231847617</v>
      </c>
      <c r="F90" s="500">
        <v>6.2876990281325504</v>
      </c>
      <c r="G90" s="526">
        <v>4.8128305107790652</v>
      </c>
      <c r="H90" s="526">
        <v>5.5504785822237341</v>
      </c>
      <c r="I90" s="560">
        <v>8.703088478128775</v>
      </c>
      <c r="J90" s="560">
        <v>8.1204278372820848</v>
      </c>
      <c r="K90" s="560">
        <v>10.213581450991107</v>
      </c>
      <c r="L90" s="560">
        <v>7.7053440007244847</v>
      </c>
      <c r="M90" s="560">
        <v>8.9711453063850595</v>
      </c>
      <c r="N90" s="560">
        <v>4.662505208487981</v>
      </c>
      <c r="O90" s="560">
        <v>3.6597876879822202</v>
      </c>
      <c r="P90" s="560">
        <v>4.7235215736084246</v>
      </c>
      <c r="Q90" s="560">
        <v>3.1393615456241144</v>
      </c>
      <c r="R90" s="560">
        <v>3.8102167951195209</v>
      </c>
      <c r="S90" s="560">
        <v>2.5064071269256405</v>
      </c>
      <c r="T90" s="566">
        <v>2.4890092839365465</v>
      </c>
      <c r="U90" s="506">
        <v>2.6647667095334473</v>
      </c>
      <c r="V90" s="526">
        <v>2.3547255501144377</v>
      </c>
      <c r="W90" s="570">
        <v>2.5285232548838152</v>
      </c>
      <c r="Y90" s="441" t="s">
        <v>33</v>
      </c>
      <c r="Z90" s="544">
        <v>25</v>
      </c>
      <c r="AA90" s="545">
        <v>2.917981065649363</v>
      </c>
      <c r="AB90" s="546">
        <v>2.5318059922689233</v>
      </c>
      <c r="AC90" s="506">
        <v>3.5386009005432624</v>
      </c>
      <c r="AD90" s="540">
        <v>2.4345763298924186</v>
      </c>
      <c r="AE90" s="545">
        <v>2.9343162705044934</v>
      </c>
      <c r="AF90" s="545">
        <v>4.3249445533731086</v>
      </c>
      <c r="AG90" s="545">
        <v>3.591576303120672</v>
      </c>
      <c r="AH90" s="545">
        <v>5.0873483234255401</v>
      </c>
      <c r="AI90" s="545">
        <v>3.4106350236523961</v>
      </c>
      <c r="AJ90" s="545">
        <v>4.1762433161343777</v>
      </c>
      <c r="AK90" s="545">
        <v>1.4562063000693921</v>
      </c>
      <c r="AL90" s="545">
        <v>1.2794777774522701</v>
      </c>
      <c r="AM90" s="545">
        <v>1.5516909531961758</v>
      </c>
      <c r="AN90" s="545">
        <v>1.0889351588514762</v>
      </c>
      <c r="AO90" s="545">
        <v>1.2909576576283306</v>
      </c>
      <c r="AP90" s="545">
        <v>0.64304319336420079</v>
      </c>
      <c r="AQ90" s="545">
        <v>0.68204613838280348</v>
      </c>
      <c r="AR90" s="512">
        <v>0.71346347882924932</v>
      </c>
      <c r="AS90" s="545">
        <v>0.64097282809640344</v>
      </c>
      <c r="AT90" s="548">
        <v>0.68351344578466688</v>
      </c>
    </row>
    <row r="91" spans="2:46" x14ac:dyDescent="0.3">
      <c r="B91" s="558" t="s">
        <v>33</v>
      </c>
      <c r="C91" s="559">
        <v>30</v>
      </c>
      <c r="D91" s="560">
        <v>4.8914714766209109</v>
      </c>
      <c r="E91" s="560">
        <v>4.6813711929141588</v>
      </c>
      <c r="F91" s="500">
        <v>5.8578741643141363</v>
      </c>
      <c r="G91" s="526">
        <v>4.498080336097094</v>
      </c>
      <c r="H91" s="526">
        <v>5.1874875939870293</v>
      </c>
      <c r="I91" s="560">
        <v>8.1081484526641123</v>
      </c>
      <c r="J91" s="560">
        <v>7.5893669419207086</v>
      </c>
      <c r="K91" s="560">
        <v>9.5153846644355689</v>
      </c>
      <c r="L91" s="560">
        <v>7.2014288171789653</v>
      </c>
      <c r="M91" s="560">
        <v>8.3844490689094187</v>
      </c>
      <c r="N91" s="560">
        <v>4.2754089748016844</v>
      </c>
      <c r="O91" s="560">
        <v>3.355940299773335</v>
      </c>
      <c r="P91" s="560">
        <v>4.3313595643196994</v>
      </c>
      <c r="Q91" s="560">
        <v>2.8787216157687263</v>
      </c>
      <c r="R91" s="560">
        <v>3.4938802968280056</v>
      </c>
      <c r="S91" s="560">
        <v>2.2983171161839593</v>
      </c>
      <c r="T91" s="566">
        <v>2.2823636982827091</v>
      </c>
      <c r="U91" s="506">
        <v>2.4435291750347914</v>
      </c>
      <c r="V91" s="526">
        <v>2.1592286335308772</v>
      </c>
      <c r="W91" s="570">
        <v>2.318597091804814</v>
      </c>
      <c r="Y91" s="441" t="s">
        <v>33</v>
      </c>
      <c r="Z91" s="544">
        <v>30</v>
      </c>
      <c r="AA91" s="545">
        <v>2.7185089203453678</v>
      </c>
      <c r="AB91" s="546">
        <v>2.3662305836725146</v>
      </c>
      <c r="AC91" s="506">
        <v>3.2967034045946599</v>
      </c>
      <c r="AD91" s="540">
        <v>2.275359560593349</v>
      </c>
      <c r="AE91" s="545">
        <v>2.7424174374487791</v>
      </c>
      <c r="AF91" s="545">
        <v>4.0292928856710839</v>
      </c>
      <c r="AG91" s="545">
        <v>3.3566938849139536</v>
      </c>
      <c r="AH91" s="545">
        <v>4.7395790058215042</v>
      </c>
      <c r="AI91" s="545">
        <v>3.1875858289910055</v>
      </c>
      <c r="AJ91" s="545">
        <v>3.9031247614036944</v>
      </c>
      <c r="AK91" s="545">
        <v>1.3353073521816921</v>
      </c>
      <c r="AL91" s="545">
        <v>1.1732514020188571</v>
      </c>
      <c r="AM91" s="545">
        <v>1.4228645611668729</v>
      </c>
      <c r="AN91" s="545">
        <v>0.99852824671492268</v>
      </c>
      <c r="AO91" s="545">
        <v>1.1837781854838978</v>
      </c>
      <c r="AP91" s="545">
        <v>0.58965567160964294</v>
      </c>
      <c r="AQ91" s="545">
        <v>0.62542046622534864</v>
      </c>
      <c r="AR91" s="512">
        <v>0.65422943764796593</v>
      </c>
      <c r="AS91" s="545">
        <v>0.58775719474983301</v>
      </c>
      <c r="AT91" s="548">
        <v>0.62676595303001736</v>
      </c>
    </row>
    <row r="92" spans="2:46" x14ac:dyDescent="0.3">
      <c r="B92" s="558" t="s">
        <v>33</v>
      </c>
      <c r="C92" s="559">
        <v>35</v>
      </c>
      <c r="D92" s="560">
        <v>4.6386169716114418</v>
      </c>
      <c r="E92" s="560">
        <v>4.2906610070984126</v>
      </c>
      <c r="F92" s="500">
        <v>5.555063470373705</v>
      </c>
      <c r="G92" s="526">
        <v>4.1226677205389075</v>
      </c>
      <c r="H92" s="526">
        <v>4.754536614831312</v>
      </c>
      <c r="I92" s="560">
        <v>7.6890144817638131</v>
      </c>
      <c r="J92" s="560">
        <v>6.9559536008487619</v>
      </c>
      <c r="K92" s="560">
        <v>9.0235065269875196</v>
      </c>
      <c r="L92" s="560">
        <v>6.6003930361330818</v>
      </c>
      <c r="M92" s="560">
        <v>7.6846776731622226</v>
      </c>
      <c r="N92" s="560">
        <v>3.6561427253786478</v>
      </c>
      <c r="O92" s="560">
        <v>2.8698593688551903</v>
      </c>
      <c r="P92" s="560">
        <v>3.703989221948353</v>
      </c>
      <c r="Q92" s="560">
        <v>2.4617619687387844</v>
      </c>
      <c r="R92" s="560">
        <v>2.987819868007676</v>
      </c>
      <c r="S92" s="560">
        <v>1.9654202567460786</v>
      </c>
      <c r="T92" s="566">
        <v>1.9517816938203625</v>
      </c>
      <c r="U92" s="506">
        <v>2.089599257102261</v>
      </c>
      <c r="V92" s="526">
        <v>1.846481751733638</v>
      </c>
      <c r="W92" s="570">
        <v>1.9827669720363819</v>
      </c>
      <c r="Y92" s="441" t="s">
        <v>33</v>
      </c>
      <c r="Z92" s="544">
        <v>35</v>
      </c>
      <c r="AA92" s="545">
        <v>2.5779812221459273</v>
      </c>
      <c r="AB92" s="546">
        <v>2.1687434900558085</v>
      </c>
      <c r="AC92" s="506">
        <v>3.1262871379321657</v>
      </c>
      <c r="AD92" s="540">
        <v>2.0854566197492899</v>
      </c>
      <c r="AE92" s="545">
        <v>2.5135335522760354</v>
      </c>
      <c r="AF92" s="545">
        <v>3.8210069203917052</v>
      </c>
      <c r="AG92" s="545">
        <v>3.0765421008626443</v>
      </c>
      <c r="AH92" s="545">
        <v>4.494576268056762</v>
      </c>
      <c r="AI92" s="545">
        <v>2.9215479097091896</v>
      </c>
      <c r="AJ92" s="545">
        <v>3.5773675125236357</v>
      </c>
      <c r="AK92" s="545">
        <v>1.1418964339078632</v>
      </c>
      <c r="AL92" s="545">
        <v>1.0033153832723785</v>
      </c>
      <c r="AM92" s="545">
        <v>1.2167715287987502</v>
      </c>
      <c r="AN92" s="545">
        <v>0.85389947017082424</v>
      </c>
      <c r="AO92" s="545">
        <v>1.0123174469125147</v>
      </c>
      <c r="AP92" s="545">
        <v>0.50424773558273617</v>
      </c>
      <c r="AQ92" s="545">
        <v>0.53483334747993772</v>
      </c>
      <c r="AR92" s="512">
        <v>0.55946839548750427</v>
      </c>
      <c r="AS92" s="545">
        <v>0.50262529761890595</v>
      </c>
      <c r="AT92" s="548">
        <v>0.53598395135459842</v>
      </c>
    </row>
    <row r="93" spans="2:46" x14ac:dyDescent="0.3">
      <c r="B93" s="558" t="s">
        <v>33</v>
      </c>
      <c r="C93" s="559">
        <v>40</v>
      </c>
      <c r="D93" s="560">
        <v>4.4521958773914889</v>
      </c>
      <c r="E93" s="560">
        <v>3.9610041107917087</v>
      </c>
      <c r="F93" s="500">
        <v>5.3318113637768105</v>
      </c>
      <c r="G93" s="526">
        <v>3.8059179603019029</v>
      </c>
      <c r="H93" s="526">
        <v>4.3892395705696376</v>
      </c>
      <c r="I93" s="560">
        <v>7.380001148277576</v>
      </c>
      <c r="J93" s="560">
        <v>6.4215189132527</v>
      </c>
      <c r="K93" s="560">
        <v>8.6608613741851048</v>
      </c>
      <c r="L93" s="560">
        <v>6.093276515136365</v>
      </c>
      <c r="M93" s="560">
        <v>7.094254196066033</v>
      </c>
      <c r="N93" s="560">
        <v>3.4151632235982774</v>
      </c>
      <c r="O93" s="560">
        <v>2.6806988430642233</v>
      </c>
      <c r="P93" s="560">
        <v>3.4598561165558293</v>
      </c>
      <c r="Q93" s="560">
        <v>2.2995002936781721</v>
      </c>
      <c r="R93" s="560">
        <v>2.7908842329955377</v>
      </c>
      <c r="S93" s="560">
        <v>1.8358777224866518</v>
      </c>
      <c r="T93" s="566">
        <v>1.8231342571414284</v>
      </c>
      <c r="U93" s="506">
        <v>1.9518719784591705</v>
      </c>
      <c r="V93" s="526">
        <v>1.724774931249019</v>
      </c>
      <c r="W93" s="570">
        <v>1.8520772082724588</v>
      </c>
      <c r="Y93" s="441" t="s">
        <v>33</v>
      </c>
      <c r="Z93" s="544">
        <v>40</v>
      </c>
      <c r="AA93" s="545">
        <v>2.4743748922307454</v>
      </c>
      <c r="AB93" s="546">
        <v>2.0021161926220619</v>
      </c>
      <c r="AC93" s="506">
        <v>3.0006449750491595</v>
      </c>
      <c r="AD93" s="540">
        <v>1.9252283575977345</v>
      </c>
      <c r="AE93" s="545">
        <v>2.3204155995327982</v>
      </c>
      <c r="AF93" s="545">
        <v>3.6674447065937463</v>
      </c>
      <c r="AG93" s="545">
        <v>2.8401674912979638</v>
      </c>
      <c r="AH93" s="545">
        <v>4.3139440168762775</v>
      </c>
      <c r="AI93" s="545">
        <v>2.69708169932046</v>
      </c>
      <c r="AJ93" s="545">
        <v>3.3025138549692516</v>
      </c>
      <c r="AK93" s="545">
        <v>1.066633060895148</v>
      </c>
      <c r="AL93" s="545">
        <v>0.93718403638701642</v>
      </c>
      <c r="AM93" s="545">
        <v>1.1365730740844051</v>
      </c>
      <c r="AN93" s="545">
        <v>0.79761654756386224</v>
      </c>
      <c r="AO93" s="545">
        <v>0.94559274862120868</v>
      </c>
      <c r="AP93" s="545">
        <v>0.47101233499207051</v>
      </c>
      <c r="AQ93" s="545">
        <v>0.49958097298459592</v>
      </c>
      <c r="AR93" s="512">
        <v>0.5225933538567159</v>
      </c>
      <c r="AS93" s="545">
        <v>0.46949584653665288</v>
      </c>
      <c r="AT93" s="548">
        <v>0.50065573731245872</v>
      </c>
    </row>
    <row r="94" spans="2:46" x14ac:dyDescent="0.3">
      <c r="B94" s="558" t="s">
        <v>33</v>
      </c>
      <c r="C94" s="559">
        <v>45</v>
      </c>
      <c r="D94" s="560">
        <v>4.3098527012713941</v>
      </c>
      <c r="E94" s="560">
        <v>3.7553806930206077</v>
      </c>
      <c r="F94" s="500">
        <v>5.1613456015116812</v>
      </c>
      <c r="G94" s="526">
        <v>3.6083453658626419</v>
      </c>
      <c r="H94" s="526">
        <v>4.1613856182200912</v>
      </c>
      <c r="I94" s="560">
        <v>7.1440517803375361</v>
      </c>
      <c r="J94" s="560">
        <v>6.0881653924554531</v>
      </c>
      <c r="K94" s="560">
        <v>8.3839610423291653</v>
      </c>
      <c r="L94" s="560">
        <v>5.7769626948469188</v>
      </c>
      <c r="M94" s="560">
        <v>6.725977679927678</v>
      </c>
      <c r="N94" s="560">
        <v>3.2277346880609028</v>
      </c>
      <c r="O94" s="560">
        <v>2.5335786542250838</v>
      </c>
      <c r="P94" s="560">
        <v>3.2699747777620596</v>
      </c>
      <c r="Q94" s="560">
        <v>2.1733007698797864</v>
      </c>
      <c r="R94" s="560">
        <v>2.6377169287126212</v>
      </c>
      <c r="S94" s="560">
        <v>1.7351223997033329</v>
      </c>
      <c r="T94" s="566">
        <v>1.7230783120718369</v>
      </c>
      <c r="U94" s="506">
        <v>1.8447507422174692</v>
      </c>
      <c r="V94" s="526">
        <v>1.6301170720691653</v>
      </c>
      <c r="W94" s="570">
        <v>1.750432836943433</v>
      </c>
      <c r="Y94" s="441" t="s">
        <v>33</v>
      </c>
      <c r="Z94" s="544">
        <v>45</v>
      </c>
      <c r="AA94" s="545">
        <v>2.3952655289476774</v>
      </c>
      <c r="AB94" s="546">
        <v>1.898182451886931</v>
      </c>
      <c r="AC94" s="506">
        <v>2.9047099919712029</v>
      </c>
      <c r="AD94" s="540">
        <v>1.8252860137358482</v>
      </c>
      <c r="AE94" s="545">
        <v>2.1999583182779334</v>
      </c>
      <c r="AF94" s="545">
        <v>3.5501911665075361</v>
      </c>
      <c r="AG94" s="545">
        <v>2.6927288797065376</v>
      </c>
      <c r="AH94" s="545">
        <v>4.1760209537683215</v>
      </c>
      <c r="AI94" s="545">
        <v>2.5570709491394124</v>
      </c>
      <c r="AJ94" s="545">
        <v>3.1310739455167309</v>
      </c>
      <c r="AK94" s="545">
        <v>1.0080948712186124</v>
      </c>
      <c r="AL94" s="545">
        <v>0.88575017511348386</v>
      </c>
      <c r="AM94" s="545">
        <v>1.0741964868294032</v>
      </c>
      <c r="AN94" s="545">
        <v>0.75384232898558901</v>
      </c>
      <c r="AO94" s="545">
        <v>0.89369740644131124</v>
      </c>
      <c r="AP94" s="545">
        <v>0.44516257426684563</v>
      </c>
      <c r="AQ94" s="545">
        <v>0.47216332878480183</v>
      </c>
      <c r="AR94" s="512">
        <v>0.49391276069557011</v>
      </c>
      <c r="AS94" s="545">
        <v>0.44372931264181614</v>
      </c>
      <c r="AT94" s="548">
        <v>0.47317910866863355</v>
      </c>
    </row>
    <row r="95" spans="2:46" x14ac:dyDescent="0.3">
      <c r="B95" s="558" t="s">
        <v>33</v>
      </c>
      <c r="C95" s="559">
        <v>50</v>
      </c>
      <c r="D95" s="560">
        <v>4.1610402767829466</v>
      </c>
      <c r="E95" s="560">
        <v>3.6716839977534859</v>
      </c>
      <c r="F95" s="500">
        <v>4.9831324685298606</v>
      </c>
      <c r="G95" s="526">
        <v>3.5279256675171675</v>
      </c>
      <c r="H95" s="526">
        <v>4.0686402343434436</v>
      </c>
      <c r="I95" s="560">
        <v>6.8973789263466294</v>
      </c>
      <c r="J95" s="560">
        <v>5.9524775979969053</v>
      </c>
      <c r="K95" s="560">
        <v>8.0944760747436959</v>
      </c>
      <c r="L95" s="560">
        <v>5.6482107184790529</v>
      </c>
      <c r="M95" s="560">
        <v>6.5760748737230772</v>
      </c>
      <c r="N95" s="560">
        <v>3.0235426016487179</v>
      </c>
      <c r="O95" s="560">
        <v>2.3733000807075095</v>
      </c>
      <c r="P95" s="560">
        <v>3.0631105101206617</v>
      </c>
      <c r="Q95" s="560">
        <v>2.0358139992835449</v>
      </c>
      <c r="R95" s="560">
        <v>2.4708503875960894</v>
      </c>
      <c r="S95" s="560">
        <v>1.6253555516763074</v>
      </c>
      <c r="T95" s="566">
        <v>1.6140733938872802</v>
      </c>
      <c r="U95" s="506">
        <v>1.728048615379991</v>
      </c>
      <c r="V95" s="526">
        <v>1.5269930429247838</v>
      </c>
      <c r="W95" s="570">
        <v>1.639697424140776</v>
      </c>
      <c r="Y95" s="441" t="s">
        <v>33</v>
      </c>
      <c r="Z95" s="544">
        <v>50</v>
      </c>
      <c r="AA95" s="545">
        <v>2.312560783481282</v>
      </c>
      <c r="AB95" s="546">
        <v>1.8558773938319004</v>
      </c>
      <c r="AC95" s="506">
        <v>2.8044149317215714</v>
      </c>
      <c r="AD95" s="540">
        <v>1.7846056088035567</v>
      </c>
      <c r="AE95" s="545">
        <v>2.1509275392393441</v>
      </c>
      <c r="AF95" s="545">
        <v>3.4276086581239888</v>
      </c>
      <c r="AG95" s="545">
        <v>2.6327156541763981</v>
      </c>
      <c r="AH95" s="545">
        <v>4.0318295286967647</v>
      </c>
      <c r="AI95" s="545">
        <v>2.5000811509002392</v>
      </c>
      <c r="AJ95" s="545">
        <v>3.0612912621355819</v>
      </c>
      <c r="AK95" s="545">
        <v>0.94432104376713277</v>
      </c>
      <c r="AL95" s="545">
        <v>0.82971608502380678</v>
      </c>
      <c r="AM95" s="545">
        <v>1.0062409566943946</v>
      </c>
      <c r="AN95" s="545">
        <v>0.7061529576903719</v>
      </c>
      <c r="AO95" s="545">
        <v>0.83716056073419387</v>
      </c>
      <c r="AP95" s="545">
        <v>0.41700081885107604</v>
      </c>
      <c r="AQ95" s="545">
        <v>0.44229345887619059</v>
      </c>
      <c r="AR95" s="512">
        <v>0.46266698405690243</v>
      </c>
      <c r="AS95" s="545">
        <v>0.41565822783868145</v>
      </c>
      <c r="AT95" s="548">
        <v>0.4432449787653634</v>
      </c>
    </row>
    <row r="96" spans="2:46" x14ac:dyDescent="0.3">
      <c r="B96" s="558" t="s">
        <v>33</v>
      </c>
      <c r="C96" s="559">
        <v>55</v>
      </c>
      <c r="D96" s="560">
        <v>4.03166526334127</v>
      </c>
      <c r="E96" s="560">
        <v>3.6771735681417264</v>
      </c>
      <c r="F96" s="500">
        <v>4.8281969747075939</v>
      </c>
      <c r="G96" s="526">
        <v>3.5332003034303248</v>
      </c>
      <c r="H96" s="526">
        <v>4.0747232978544972</v>
      </c>
      <c r="I96" s="560">
        <v>6.6829257050482411</v>
      </c>
      <c r="J96" s="560">
        <v>5.9613772050378762</v>
      </c>
      <c r="K96" s="560">
        <v>7.8428027235347653</v>
      </c>
      <c r="L96" s="560">
        <v>5.6566554131547591</v>
      </c>
      <c r="M96" s="560">
        <v>6.5859068271046119</v>
      </c>
      <c r="N96" s="560">
        <v>2.8329309801534461</v>
      </c>
      <c r="O96" s="560">
        <v>2.223669235977729</v>
      </c>
      <c r="P96" s="560">
        <v>2.8700044295795997</v>
      </c>
      <c r="Q96" s="560">
        <v>1.9074608378347413</v>
      </c>
      <c r="R96" s="560">
        <v>2.3150692313477443</v>
      </c>
      <c r="S96" s="560">
        <v>1.5228891081598759</v>
      </c>
      <c r="T96" s="566">
        <v>1.5123099601999488</v>
      </c>
      <c r="U96" s="506">
        <v>1.6191081465337354</v>
      </c>
      <c r="V96" s="526">
        <v>1.4307198152926426</v>
      </c>
      <c r="W96" s="570">
        <v>1.5363184571614772</v>
      </c>
      <c r="Y96" s="441" t="s">
        <v>33</v>
      </c>
      <c r="Z96" s="544">
        <v>55</v>
      </c>
      <c r="AA96" s="545">
        <v>2.2406586718586325</v>
      </c>
      <c r="AB96" s="546">
        <v>1.8586521341395132</v>
      </c>
      <c r="AC96" s="506">
        <v>2.717220096931837</v>
      </c>
      <c r="AD96" s="540">
        <v>1.7872737899734965</v>
      </c>
      <c r="AE96" s="545">
        <v>2.1541434118835814</v>
      </c>
      <c r="AF96" s="545">
        <v>3.3210374916078007</v>
      </c>
      <c r="AG96" s="545">
        <v>2.6366518529082792</v>
      </c>
      <c r="AH96" s="545">
        <v>3.9064719342557463</v>
      </c>
      <c r="AI96" s="545">
        <v>2.5038190464987102</v>
      </c>
      <c r="AJ96" s="545">
        <v>3.0658682284193577</v>
      </c>
      <c r="AK96" s="545">
        <v>0.88478870403214482</v>
      </c>
      <c r="AL96" s="545">
        <v>0.77740448747353519</v>
      </c>
      <c r="AM96" s="545">
        <v>0.94280503213825173</v>
      </c>
      <c r="AN96" s="545">
        <v>0.66163171723427927</v>
      </c>
      <c r="AO96" s="545">
        <v>0.78437960694946607</v>
      </c>
      <c r="AP96" s="545">
        <v>0.39071205341323606</v>
      </c>
      <c r="AQ96" s="545">
        <v>0.41440792328459719</v>
      </c>
      <c r="AR96" s="512">
        <v>0.43349931035013084</v>
      </c>
      <c r="AS96" s="545">
        <v>0.38945197930906267</v>
      </c>
      <c r="AT96" s="548">
        <v>0.41529945214020814</v>
      </c>
    </row>
    <row r="97" spans="2:46" x14ac:dyDescent="0.3">
      <c r="B97" s="558" t="s">
        <v>33</v>
      </c>
      <c r="C97" s="559">
        <v>60</v>
      </c>
      <c r="D97" s="560">
        <v>3.9758259832603486</v>
      </c>
      <c r="E97" s="560">
        <v>3.7712584880478532</v>
      </c>
      <c r="F97" s="500">
        <v>4.7613255889286279</v>
      </c>
      <c r="G97" s="526">
        <v>3.623601493746869</v>
      </c>
      <c r="H97" s="526">
        <v>4.1789800069855838</v>
      </c>
      <c r="I97" s="560">
        <v>6.5903659968806769</v>
      </c>
      <c r="J97" s="560">
        <v>6.1139062294291939</v>
      </c>
      <c r="K97" s="560">
        <v>7.7341785126210043</v>
      </c>
      <c r="L97" s="560">
        <v>5.8013877630482069</v>
      </c>
      <c r="M97" s="560">
        <v>6.7544151949732765</v>
      </c>
      <c r="N97" s="560">
        <v>2.7391011398458156</v>
      </c>
      <c r="O97" s="560">
        <v>2.1500366399153443</v>
      </c>
      <c r="P97" s="560">
        <v>2.7749466751915768</v>
      </c>
      <c r="Q97" s="560">
        <v>1.8442988841121823</v>
      </c>
      <c r="R97" s="560">
        <v>2.2384100975115322</v>
      </c>
      <c r="S97" s="560">
        <v>1.4724493188300518</v>
      </c>
      <c r="T97" s="566">
        <v>1.4622326795419907</v>
      </c>
      <c r="U97" s="506">
        <v>1.5654814751130939</v>
      </c>
      <c r="V97" s="526">
        <v>1.3833442377861378</v>
      </c>
      <c r="W97" s="570">
        <v>1.485446180588555</v>
      </c>
      <c r="Y97" s="441" t="s">
        <v>33</v>
      </c>
      <c r="Z97" s="544">
        <v>60</v>
      </c>
      <c r="AA97" s="545">
        <v>2.2096251512235474</v>
      </c>
      <c r="AB97" s="546">
        <v>1.9062079902701339</v>
      </c>
      <c r="AC97" s="506">
        <v>2.679586115903279</v>
      </c>
      <c r="AD97" s="540">
        <v>1.8330033450961705</v>
      </c>
      <c r="AE97" s="545">
        <v>2.2092597686770952</v>
      </c>
      <c r="AF97" s="545">
        <v>3.2750405324010634</v>
      </c>
      <c r="AG97" s="545">
        <v>2.70411377000418</v>
      </c>
      <c r="AH97" s="545">
        <v>3.8523666040219608</v>
      </c>
      <c r="AI97" s="545">
        <v>2.5678822760645406</v>
      </c>
      <c r="AJ97" s="545">
        <v>3.1443121640585843</v>
      </c>
      <c r="AK97" s="545">
        <v>0.85548351326437155</v>
      </c>
      <c r="AL97" s="545">
        <v>0.75166220994544086</v>
      </c>
      <c r="AM97" s="545">
        <v>0.91157827574125283</v>
      </c>
      <c r="AN97" s="545">
        <v>0.63972303576810197</v>
      </c>
      <c r="AO97" s="545">
        <v>0.75840636154784613</v>
      </c>
      <c r="AP97" s="545">
        <v>0.37777123352215464</v>
      </c>
      <c r="AQ97" s="545">
        <v>0.40068558961798523</v>
      </c>
      <c r="AR97" s="512">
        <v>0.41914132868782511</v>
      </c>
      <c r="AS97" s="545">
        <v>0.37655601447122039</v>
      </c>
      <c r="AT97" s="548">
        <v>0.40154759718372041</v>
      </c>
    </row>
    <row r="98" spans="2:46" x14ac:dyDescent="0.3">
      <c r="B98" s="558" t="s">
        <v>33</v>
      </c>
      <c r="C98" s="559">
        <v>65</v>
      </c>
      <c r="D98" s="560">
        <v>4.1783806240309813</v>
      </c>
      <c r="E98" s="560">
        <v>3.9308243122318642</v>
      </c>
      <c r="F98" s="500">
        <v>5.0038987292818646</v>
      </c>
      <c r="G98" s="526">
        <v>3.7769197986831702</v>
      </c>
      <c r="H98" s="526">
        <v>4.355796947849357</v>
      </c>
      <c r="I98" s="560">
        <v>6.9261224466512674</v>
      </c>
      <c r="J98" s="560">
        <v>6.3725918882283672</v>
      </c>
      <c r="K98" s="560">
        <v>8.1282082706828049</v>
      </c>
      <c r="L98" s="560">
        <v>6.0468504442077275</v>
      </c>
      <c r="M98" s="560">
        <v>7.0402014466668907</v>
      </c>
      <c r="N98" s="560">
        <v>2.7038167053880069</v>
      </c>
      <c r="O98" s="560">
        <v>2.1223464409354196</v>
      </c>
      <c r="P98" s="560">
        <v>2.7392004872686941</v>
      </c>
      <c r="Q98" s="560">
        <v>1.8205462642119326</v>
      </c>
      <c r="R98" s="560">
        <v>2.2095817418230412</v>
      </c>
      <c r="S98" s="560">
        <v>1.4534815849530809</v>
      </c>
      <c r="T98" s="566">
        <v>1.4434006684498168</v>
      </c>
      <c r="U98" s="506">
        <v>1.545315323633689</v>
      </c>
      <c r="V98" s="526">
        <v>1.3655282264257276</v>
      </c>
      <c r="W98" s="570">
        <v>1.4663152041433882</v>
      </c>
      <c r="Y98" s="441" t="s">
        <v>33</v>
      </c>
      <c r="Z98" s="544">
        <v>65</v>
      </c>
      <c r="AA98" s="545">
        <v>2.3221979425449657</v>
      </c>
      <c r="AB98" s="546">
        <v>1.9868616102745928</v>
      </c>
      <c r="AC98" s="506">
        <v>2.8161017997903479</v>
      </c>
      <c r="AD98" s="540">
        <v>1.9105596012953368</v>
      </c>
      <c r="AE98" s="545">
        <v>2.3027358210195104</v>
      </c>
      <c r="AF98" s="545">
        <v>3.4418925680139916</v>
      </c>
      <c r="AG98" s="545">
        <v>2.8185276039446387</v>
      </c>
      <c r="AH98" s="545">
        <v>4.0486314146248032</v>
      </c>
      <c r="AI98" s="545">
        <v>2.6765320154251149</v>
      </c>
      <c r="AJ98" s="545">
        <v>3.2773512446572557</v>
      </c>
      <c r="AK98" s="545">
        <v>0.84446338278638144</v>
      </c>
      <c r="AL98" s="545">
        <v>0.74198159531186947</v>
      </c>
      <c r="AM98" s="545">
        <v>0.89983554618093997</v>
      </c>
      <c r="AN98" s="545">
        <v>0.63148407935982531</v>
      </c>
      <c r="AO98" s="545">
        <v>0.74863888937131273</v>
      </c>
      <c r="AP98" s="545">
        <v>0.37290487640399139</v>
      </c>
      <c r="AQ98" s="545">
        <v>0.39552518281424476</v>
      </c>
      <c r="AR98" s="512">
        <v>0.41374205206911774</v>
      </c>
      <c r="AS98" s="545">
        <v>0.3717063710864425</v>
      </c>
      <c r="AT98" s="548">
        <v>0.39637608863381701</v>
      </c>
    </row>
    <row r="99" spans="2:46" x14ac:dyDescent="0.3">
      <c r="B99" s="558" t="s">
        <v>33</v>
      </c>
      <c r="C99" s="559">
        <v>70</v>
      </c>
      <c r="D99" s="560">
        <v>4.8237422366479654</v>
      </c>
      <c r="E99" s="560">
        <v>4.2683430313559469</v>
      </c>
      <c r="F99" s="500">
        <v>5.7767637322279146</v>
      </c>
      <c r="G99" s="526">
        <v>4.1012235658902396</v>
      </c>
      <c r="H99" s="526">
        <v>4.7298057790321382</v>
      </c>
      <c r="I99" s="560">
        <v>7.995879836786151</v>
      </c>
      <c r="J99" s="560">
        <v>6.9197720419997584</v>
      </c>
      <c r="K99" s="560">
        <v>9.38363090190159</v>
      </c>
      <c r="L99" s="560">
        <v>6.5660609340566296</v>
      </c>
      <c r="M99" s="560">
        <v>7.6447056386401382</v>
      </c>
      <c r="N99" s="560">
        <v>2.6735805777908812</v>
      </c>
      <c r="O99" s="560">
        <v>2.0986068576788601</v>
      </c>
      <c r="P99" s="560">
        <v>2.7085686714055401</v>
      </c>
      <c r="Q99" s="560">
        <v>1.8001824778017224</v>
      </c>
      <c r="R99" s="560">
        <v>2.1848663849376386</v>
      </c>
      <c r="S99" s="560">
        <v>1.4372276522899912</v>
      </c>
      <c r="T99" s="566">
        <v>1.4272554578092127</v>
      </c>
      <c r="U99" s="506">
        <v>1.528034436504738</v>
      </c>
      <c r="V99" s="526">
        <v>1.3502540608158338</v>
      </c>
      <c r="W99" s="570">
        <v>1.4499136821309033</v>
      </c>
      <c r="Y99" s="441" t="s">
        <v>33</v>
      </c>
      <c r="Z99" s="544">
        <v>70</v>
      </c>
      <c r="AA99" s="545">
        <v>2.6808673754820909</v>
      </c>
      <c r="AB99" s="546">
        <v>2.1574627189758702</v>
      </c>
      <c r="AC99" s="506">
        <v>3.2510559512513022</v>
      </c>
      <c r="AD99" s="540">
        <v>2.0746090673151714</v>
      </c>
      <c r="AE99" s="545">
        <v>2.500459347449608</v>
      </c>
      <c r="AF99" s="545">
        <v>3.9735017099319947</v>
      </c>
      <c r="AG99" s="545">
        <v>3.0605393936191376</v>
      </c>
      <c r="AH99" s="545">
        <v>4.6739529288035149</v>
      </c>
      <c r="AI99" s="545">
        <v>2.906351408454146</v>
      </c>
      <c r="AJ99" s="545">
        <v>3.55875974993547</v>
      </c>
      <c r="AK99" s="545">
        <v>0.83501995322913813</v>
      </c>
      <c r="AL99" s="545">
        <v>0.73368213320851106</v>
      </c>
      <c r="AM99" s="545">
        <v>0.88977290312657209</v>
      </c>
      <c r="AN99" s="545">
        <v>0.62442059123743032</v>
      </c>
      <c r="AO99" s="545">
        <v>0.74026496186327795</v>
      </c>
      <c r="AP99" s="545">
        <v>0.36873477145491218</v>
      </c>
      <c r="AQ99" s="545">
        <v>0.39110102150561959</v>
      </c>
      <c r="AR99" s="512">
        <v>0.40911527487163635</v>
      </c>
      <c r="AS99" s="545">
        <v>0.36754863596214715</v>
      </c>
      <c r="AT99" s="548">
        <v>0.39194240948721892</v>
      </c>
    </row>
    <row r="100" spans="2:46" ht="15" thickBot="1" x14ac:dyDescent="0.35">
      <c r="B100" s="561" t="s">
        <v>33</v>
      </c>
      <c r="C100" s="562">
        <v>75</v>
      </c>
      <c r="D100" s="563">
        <v>6.3823950909173535</v>
      </c>
      <c r="E100" s="563">
        <v>5.5257032432068316</v>
      </c>
      <c r="F100" s="501">
        <v>7.6433579319075831</v>
      </c>
      <c r="G100" s="567">
        <v>5.3093540497275296</v>
      </c>
      <c r="H100" s="567">
        <v>6.1231027921000285</v>
      </c>
      <c r="I100" s="563">
        <v>10.579517253254371</v>
      </c>
      <c r="J100" s="563">
        <v>8.9581850694374019</v>
      </c>
      <c r="K100" s="563">
        <v>12.415679956583848</v>
      </c>
      <c r="L100" s="563">
        <v>8.5002784293286897</v>
      </c>
      <c r="M100" s="563">
        <v>9.8966681989886833</v>
      </c>
      <c r="N100" s="563">
        <v>2.5470250897957443</v>
      </c>
      <c r="O100" s="563">
        <v>1.9992683939972056</v>
      </c>
      <c r="P100" s="563">
        <v>2.5803570016973087</v>
      </c>
      <c r="Q100" s="563">
        <v>1.7149700612706689</v>
      </c>
      <c r="R100" s="563">
        <v>2.0814447892084367</v>
      </c>
      <c r="S100" s="563">
        <v>1.369195647417351</v>
      </c>
      <c r="T100" s="568">
        <v>1.3596957031361347</v>
      </c>
      <c r="U100" s="507">
        <v>1.4557040398106473</v>
      </c>
      <c r="V100" s="526">
        <v>1.2863392005881706</v>
      </c>
      <c r="W100" s="571">
        <v>1.381281390605277</v>
      </c>
      <c r="Y100" s="442" t="s">
        <v>33</v>
      </c>
      <c r="Z100" s="549">
        <v>75</v>
      </c>
      <c r="AA100" s="550">
        <v>3.5471121667080259</v>
      </c>
      <c r="AB100" s="552">
        <v>2.7930039023962019</v>
      </c>
      <c r="AC100" s="507">
        <v>4.3015406971627224</v>
      </c>
      <c r="AD100" s="551">
        <v>2.685743382721518</v>
      </c>
      <c r="AE100" s="550">
        <v>3.2370398124538462</v>
      </c>
      <c r="AF100" s="550">
        <v>5.2574239175857658</v>
      </c>
      <c r="AG100" s="550">
        <v>3.9621071523651952</v>
      </c>
      <c r="AH100" s="550">
        <v>6.1842056985001781</v>
      </c>
      <c r="AI100" s="550">
        <v>3.7624987695733685</v>
      </c>
      <c r="AJ100" s="550">
        <v>4.6070922949614443</v>
      </c>
      <c r="AK100" s="550">
        <v>0.79549379922262298</v>
      </c>
      <c r="AL100" s="550">
        <v>0.69895297196664641</v>
      </c>
      <c r="AM100" s="550">
        <v>0.84765498646625725</v>
      </c>
      <c r="AN100" s="550">
        <v>0.59486337236256071</v>
      </c>
      <c r="AO100" s="550">
        <v>0.70522419957863036</v>
      </c>
      <c r="AP100" s="550">
        <v>0.35128049708970482</v>
      </c>
      <c r="AQ100" s="550">
        <v>0.37258808542207655</v>
      </c>
      <c r="AR100" s="513">
        <v>0.38974956594640708</v>
      </c>
      <c r="AS100" s="550">
        <v>0.35015056223949165</v>
      </c>
      <c r="AT100" s="554">
        <v>0.37338964593949581</v>
      </c>
    </row>
    <row r="101" spans="2:46" s="466" customFormat="1" x14ac:dyDescent="0.3">
      <c r="B101" s="586" t="s">
        <v>365</v>
      </c>
      <c r="C101" s="431"/>
      <c r="D101" s="467"/>
      <c r="E101" s="467"/>
      <c r="F101" s="467"/>
      <c r="G101" s="467"/>
      <c r="H101" s="467"/>
      <c r="I101" s="467"/>
      <c r="J101" s="467"/>
      <c r="K101" s="467"/>
      <c r="L101" s="467"/>
      <c r="M101" s="467"/>
      <c r="N101" s="467"/>
      <c r="O101" s="467"/>
      <c r="P101" s="467"/>
      <c r="Q101" s="467"/>
      <c r="R101" s="467"/>
      <c r="S101" s="467"/>
      <c r="T101" s="467"/>
      <c r="U101" s="467"/>
      <c r="V101" s="467"/>
      <c r="W101" s="467"/>
    </row>
    <row r="102" spans="2:46" s="466" customFormat="1" x14ac:dyDescent="0.3">
      <c r="B102" s="206" t="s">
        <v>525</v>
      </c>
      <c r="C102" s="431"/>
      <c r="D102" s="467"/>
      <c r="E102" s="467"/>
      <c r="F102" s="467"/>
      <c r="G102" s="467"/>
      <c r="H102" s="467"/>
      <c r="I102" s="467"/>
      <c r="J102" s="467"/>
      <c r="K102" s="467"/>
      <c r="L102" s="467"/>
      <c r="M102" s="467"/>
      <c r="N102" s="467"/>
      <c r="O102" s="467"/>
      <c r="P102" s="467"/>
      <c r="Q102" s="467"/>
      <c r="R102" s="467"/>
      <c r="S102" s="467"/>
      <c r="T102" s="467"/>
      <c r="U102" s="467"/>
      <c r="V102" s="467"/>
      <c r="W102" s="467"/>
    </row>
    <row r="103" spans="2:46" s="466" customFormat="1" x14ac:dyDescent="0.3">
      <c r="B103" s="466" t="s">
        <v>524</v>
      </c>
      <c r="C103" s="431"/>
      <c r="D103" s="467"/>
      <c r="E103" s="467"/>
      <c r="F103" s="467"/>
      <c r="G103" s="467"/>
      <c r="H103" s="467"/>
      <c r="I103" s="467"/>
      <c r="J103" s="467"/>
      <c r="K103" s="467"/>
      <c r="L103" s="467"/>
      <c r="M103" s="467"/>
      <c r="N103" s="467"/>
      <c r="O103" s="467"/>
      <c r="P103" s="467"/>
      <c r="Q103" s="467"/>
      <c r="R103" s="467"/>
      <c r="S103" s="467"/>
      <c r="T103" s="467"/>
      <c r="U103" s="467"/>
      <c r="V103" s="467"/>
      <c r="W103" s="467"/>
    </row>
    <row r="104" spans="2:46" s="466" customFormat="1" x14ac:dyDescent="0.3">
      <c r="B104" s="431"/>
      <c r="C104" s="431"/>
      <c r="D104" s="467"/>
      <c r="E104" s="467"/>
      <c r="F104" s="467"/>
      <c r="G104" s="467"/>
      <c r="H104" s="467"/>
      <c r="I104" s="467"/>
      <c r="J104" s="467"/>
      <c r="K104" s="467"/>
      <c r="L104" s="467"/>
      <c r="M104" s="467"/>
      <c r="N104" s="467"/>
      <c r="O104" s="467"/>
      <c r="P104" s="467"/>
      <c r="Q104" s="467"/>
      <c r="R104" s="467"/>
      <c r="S104" s="467"/>
      <c r="T104" s="467"/>
      <c r="U104" s="467"/>
      <c r="V104" s="467"/>
      <c r="W104" s="467"/>
    </row>
    <row r="105" spans="2:46" s="466" customFormat="1" x14ac:dyDescent="0.3">
      <c r="B105" s="431"/>
      <c r="C105" s="431"/>
      <c r="D105" s="467"/>
      <c r="E105" s="467"/>
      <c r="F105" s="467"/>
      <c r="G105" s="467"/>
      <c r="H105" s="467"/>
      <c r="I105" s="467"/>
      <c r="J105" s="467"/>
      <c r="K105" s="467"/>
      <c r="L105" s="467"/>
      <c r="M105" s="467"/>
      <c r="N105" s="467"/>
      <c r="O105" s="467"/>
      <c r="P105" s="467"/>
      <c r="Q105" s="467"/>
      <c r="R105" s="467"/>
      <c r="S105" s="467"/>
      <c r="T105" s="467"/>
      <c r="U105" s="467"/>
      <c r="V105" s="467"/>
      <c r="W105" s="467"/>
    </row>
    <row r="106" spans="2:46" s="466" customFormat="1" x14ac:dyDescent="0.3"/>
    <row r="107" spans="2:46" s="466" customFormat="1" x14ac:dyDescent="0.3">
      <c r="B107" s="735"/>
    </row>
    <row r="108" spans="2:46" s="466" customFormat="1" x14ac:dyDescent="0.3"/>
    <row r="109" spans="2:46" s="466" customFormat="1" x14ac:dyDescent="0.3"/>
    <row r="110" spans="2:46" s="466" customFormat="1" x14ac:dyDescent="0.3"/>
    <row r="111" spans="2:46" s="466" customFormat="1" x14ac:dyDescent="0.3"/>
    <row r="112" spans="2:46" s="466" customFormat="1" x14ac:dyDescent="0.3"/>
    <row r="113" s="466" customFormat="1" x14ac:dyDescent="0.3"/>
    <row r="114" s="466" customFormat="1" x14ac:dyDescent="0.3"/>
    <row r="115" s="466" customFormat="1" x14ac:dyDescent="0.3"/>
    <row r="116" s="466" customFormat="1" x14ac:dyDescent="0.3"/>
    <row r="117" s="466" customFormat="1" x14ac:dyDescent="0.3"/>
    <row r="118" s="466" customFormat="1" x14ac:dyDescent="0.3"/>
    <row r="119" s="466" customFormat="1" x14ac:dyDescent="0.3"/>
    <row r="120" s="466" customFormat="1" x14ac:dyDescent="0.3"/>
    <row r="121" s="466" customFormat="1" x14ac:dyDescent="0.3"/>
    <row r="122" s="466" customFormat="1" x14ac:dyDescent="0.3"/>
    <row r="123" s="466" customFormat="1" x14ac:dyDescent="0.3"/>
    <row r="124" s="466" customFormat="1" x14ac:dyDescent="0.3"/>
    <row r="125" s="466" customFormat="1" x14ac:dyDescent="0.3"/>
    <row r="126" s="466" customFormat="1" x14ac:dyDescent="0.3"/>
    <row r="127" s="466" customFormat="1" x14ac:dyDescent="0.3"/>
    <row r="128" s="466" customFormat="1" x14ac:dyDescent="0.3"/>
    <row r="129" s="466" customFormat="1" x14ac:dyDescent="0.3"/>
    <row r="130" s="466" customFormat="1" x14ac:dyDescent="0.3"/>
    <row r="131" s="466" customFormat="1" x14ac:dyDescent="0.3"/>
    <row r="132" s="466" customFormat="1" x14ac:dyDescent="0.3"/>
    <row r="133" s="466" customFormat="1" x14ac:dyDescent="0.3"/>
    <row r="134" s="466" customFormat="1" x14ac:dyDescent="0.3"/>
    <row r="135" s="466" customFormat="1" x14ac:dyDescent="0.3"/>
    <row r="136" s="466" customFormat="1" x14ac:dyDescent="0.3"/>
    <row r="137" s="466" customFormat="1" x14ac:dyDescent="0.3"/>
    <row r="138" s="466" customFormat="1" x14ac:dyDescent="0.3"/>
    <row r="139" s="466" customFormat="1" x14ac:dyDescent="0.3"/>
    <row r="140" s="466" customFormat="1" x14ac:dyDescent="0.3"/>
    <row r="141" s="466" customFormat="1" x14ac:dyDescent="0.3"/>
    <row r="142" s="466" customFormat="1" x14ac:dyDescent="0.3"/>
    <row r="143" s="466" customFormat="1" x14ac:dyDescent="0.3"/>
    <row r="144" s="466" customFormat="1" x14ac:dyDescent="0.3"/>
    <row r="145" s="466" customFormat="1" x14ac:dyDescent="0.3"/>
    <row r="146" s="466" customFormat="1" x14ac:dyDescent="0.3"/>
    <row r="147" s="466" customFormat="1" x14ac:dyDescent="0.3"/>
    <row r="148" s="466" customFormat="1" x14ac:dyDescent="0.3"/>
    <row r="149" s="466" customFormat="1" x14ac:dyDescent="0.3"/>
    <row r="150" s="466" customFormat="1" x14ac:dyDescent="0.3"/>
    <row r="151" s="466" customFormat="1" x14ac:dyDescent="0.3"/>
    <row r="152" s="466" customFormat="1" x14ac:dyDescent="0.3"/>
    <row r="153" s="466" customFormat="1" x14ac:dyDescent="0.3"/>
    <row r="154" s="466" customFormat="1" x14ac:dyDescent="0.3"/>
    <row r="155" s="466" customFormat="1" x14ac:dyDescent="0.3"/>
    <row r="156" s="466" customFormat="1" x14ac:dyDescent="0.3"/>
    <row r="157" s="466" customFormat="1" x14ac:dyDescent="0.3"/>
    <row r="158" s="466" customFormat="1" x14ac:dyDescent="0.3"/>
    <row r="159" s="466" customFormat="1" x14ac:dyDescent="0.3"/>
    <row r="160" s="466" customFormat="1" x14ac:dyDescent="0.3"/>
    <row r="161" s="466" customFormat="1" x14ac:dyDescent="0.3"/>
    <row r="162" s="466" customFormat="1" x14ac:dyDescent="0.3"/>
    <row r="163" s="466" customFormat="1" x14ac:dyDescent="0.3"/>
    <row r="164" s="466" customFormat="1" x14ac:dyDescent="0.3"/>
    <row r="165" s="466" customFormat="1" x14ac:dyDescent="0.3"/>
    <row r="166" s="466" customFormat="1" x14ac:dyDescent="0.3"/>
    <row r="167" s="466" customFormat="1" x14ac:dyDescent="0.3"/>
    <row r="168" s="466" customFormat="1" x14ac:dyDescent="0.3"/>
    <row r="169" s="466" customFormat="1" x14ac:dyDescent="0.3"/>
    <row r="170" s="466" customFormat="1" x14ac:dyDescent="0.3"/>
    <row r="171" s="466" customFormat="1" x14ac:dyDescent="0.3"/>
    <row r="172" s="466" customFormat="1" x14ac:dyDescent="0.3"/>
    <row r="173" s="466" customFormat="1" x14ac:dyDescent="0.3"/>
    <row r="174" s="466" customFormat="1" x14ac:dyDescent="0.3"/>
    <row r="175" s="466" customFormat="1" x14ac:dyDescent="0.3"/>
    <row r="176" s="466" customFormat="1" x14ac:dyDescent="0.3"/>
    <row r="177" spans="4:7" s="466" customFormat="1" x14ac:dyDescent="0.3">
      <c r="D177" s="468"/>
      <c r="E177" s="468"/>
      <c r="F177" s="468"/>
      <c r="G177" s="468"/>
    </row>
    <row r="178" spans="4:7" s="466" customFormat="1" x14ac:dyDescent="0.3">
      <c r="D178" s="468"/>
      <c r="E178" s="468"/>
      <c r="F178" s="468"/>
      <c r="G178" s="468"/>
    </row>
    <row r="179" spans="4:7" s="466" customFormat="1" x14ac:dyDescent="0.3">
      <c r="D179" s="468"/>
      <c r="E179" s="468"/>
      <c r="F179" s="468"/>
      <c r="G179" s="468"/>
    </row>
    <row r="180" spans="4:7" s="466" customFormat="1" x14ac:dyDescent="0.3">
      <c r="D180" s="468"/>
      <c r="E180" s="468"/>
      <c r="F180" s="468"/>
      <c r="G180" s="468"/>
    </row>
    <row r="181" spans="4:7" s="466" customFormat="1" x14ac:dyDescent="0.3">
      <c r="D181" s="468"/>
      <c r="E181" s="468"/>
      <c r="F181" s="468"/>
      <c r="G181" s="468"/>
    </row>
    <row r="182" spans="4:7" s="466" customFormat="1" x14ac:dyDescent="0.3">
      <c r="D182" s="468"/>
      <c r="E182" s="468"/>
      <c r="F182" s="468"/>
      <c r="G182" s="468"/>
    </row>
    <row r="183" spans="4:7" s="466" customFormat="1" x14ac:dyDescent="0.3">
      <c r="D183" s="468"/>
      <c r="E183" s="468"/>
      <c r="F183" s="468"/>
      <c r="G183" s="468"/>
    </row>
    <row r="184" spans="4:7" s="466" customFormat="1" x14ac:dyDescent="0.3">
      <c r="D184" s="468"/>
      <c r="E184" s="468"/>
      <c r="F184" s="468"/>
      <c r="G184" s="468"/>
    </row>
    <row r="185" spans="4:7" s="466" customFormat="1" x14ac:dyDescent="0.3">
      <c r="D185" s="468"/>
      <c r="E185" s="468"/>
      <c r="F185" s="468"/>
      <c r="G185" s="468"/>
    </row>
    <row r="186" spans="4:7" s="466" customFormat="1" x14ac:dyDescent="0.3">
      <c r="D186" s="468"/>
      <c r="E186" s="468"/>
      <c r="F186" s="468"/>
      <c r="G186" s="468"/>
    </row>
    <row r="187" spans="4:7" s="466" customFormat="1" x14ac:dyDescent="0.3">
      <c r="D187" s="468"/>
      <c r="E187" s="468"/>
      <c r="F187" s="468"/>
      <c r="G187" s="468"/>
    </row>
    <row r="188" spans="4:7" s="466" customFormat="1" x14ac:dyDescent="0.3">
      <c r="D188" s="468"/>
      <c r="E188" s="468"/>
      <c r="F188" s="468"/>
      <c r="G188" s="468"/>
    </row>
    <row r="189" spans="4:7" s="466" customFormat="1" x14ac:dyDescent="0.3">
      <c r="D189" s="468"/>
      <c r="E189" s="468"/>
      <c r="F189" s="468"/>
      <c r="G189" s="468"/>
    </row>
    <row r="190" spans="4:7" s="466" customFormat="1" x14ac:dyDescent="0.3">
      <c r="D190" s="468"/>
      <c r="E190" s="468"/>
      <c r="F190" s="468"/>
      <c r="G190" s="468"/>
    </row>
    <row r="191" spans="4:7" s="466" customFormat="1" x14ac:dyDescent="0.3">
      <c r="D191" s="468"/>
      <c r="E191" s="468"/>
      <c r="F191" s="468"/>
      <c r="G191" s="468"/>
    </row>
    <row r="192" spans="4:7" s="466" customFormat="1" x14ac:dyDescent="0.3">
      <c r="D192" s="468"/>
      <c r="E192" s="468"/>
      <c r="F192" s="468"/>
      <c r="G192" s="468"/>
    </row>
    <row r="193" spans="4:7" s="466" customFormat="1" x14ac:dyDescent="0.3">
      <c r="D193" s="468"/>
      <c r="E193" s="468"/>
      <c r="F193" s="468"/>
      <c r="G193" s="468"/>
    </row>
    <row r="194" spans="4:7" s="466" customFormat="1" x14ac:dyDescent="0.3">
      <c r="D194" s="468"/>
      <c r="E194" s="468"/>
      <c r="F194" s="468"/>
      <c r="G194" s="468"/>
    </row>
    <row r="195" spans="4:7" s="466" customFormat="1" x14ac:dyDescent="0.3">
      <c r="D195" s="468"/>
      <c r="E195" s="468"/>
      <c r="F195" s="468"/>
      <c r="G195" s="468"/>
    </row>
    <row r="196" spans="4:7" s="466" customFormat="1" x14ac:dyDescent="0.3">
      <c r="D196" s="468"/>
      <c r="E196" s="468"/>
      <c r="F196" s="468"/>
      <c r="G196" s="468"/>
    </row>
    <row r="197" spans="4:7" s="466" customFormat="1" x14ac:dyDescent="0.3">
      <c r="D197" s="468"/>
      <c r="E197" s="468"/>
      <c r="F197" s="468"/>
      <c r="G197" s="468"/>
    </row>
    <row r="198" spans="4:7" s="466" customFormat="1" x14ac:dyDescent="0.3">
      <c r="D198" s="468"/>
      <c r="E198" s="468"/>
      <c r="F198" s="468"/>
      <c r="G198" s="468"/>
    </row>
    <row r="199" spans="4:7" s="466" customFormat="1" x14ac:dyDescent="0.3">
      <c r="D199" s="468"/>
      <c r="E199" s="468"/>
      <c r="F199" s="468"/>
      <c r="G199" s="468"/>
    </row>
    <row r="200" spans="4:7" s="466" customFormat="1" x14ac:dyDescent="0.3">
      <c r="D200" s="468"/>
      <c r="E200" s="468"/>
      <c r="F200" s="468"/>
      <c r="G200" s="468"/>
    </row>
    <row r="201" spans="4:7" s="466" customFormat="1" x14ac:dyDescent="0.3">
      <c r="D201" s="468"/>
      <c r="E201" s="468"/>
      <c r="F201" s="468"/>
      <c r="G201" s="468"/>
    </row>
    <row r="202" spans="4:7" s="466" customFormat="1" x14ac:dyDescent="0.3">
      <c r="D202" s="468"/>
      <c r="E202" s="468"/>
      <c r="F202" s="468"/>
      <c r="G202" s="468"/>
    </row>
    <row r="203" spans="4:7" s="466" customFormat="1" x14ac:dyDescent="0.3">
      <c r="D203" s="468"/>
      <c r="E203" s="468"/>
      <c r="F203" s="468"/>
      <c r="G203" s="468"/>
    </row>
    <row r="204" spans="4:7" s="466" customFormat="1" x14ac:dyDescent="0.3">
      <c r="D204" s="468"/>
      <c r="E204" s="468"/>
      <c r="F204" s="468"/>
      <c r="G204" s="468"/>
    </row>
    <row r="205" spans="4:7" s="466" customFormat="1" x14ac:dyDescent="0.3">
      <c r="D205" s="468"/>
      <c r="E205" s="468"/>
      <c r="F205" s="468"/>
      <c r="G205" s="468"/>
    </row>
    <row r="206" spans="4:7" s="466" customFormat="1" x14ac:dyDescent="0.3">
      <c r="D206" s="468"/>
      <c r="E206" s="468"/>
      <c r="F206" s="468"/>
      <c r="G206" s="468"/>
    </row>
    <row r="207" spans="4:7" s="466" customFormat="1" x14ac:dyDescent="0.3">
      <c r="D207" s="468"/>
      <c r="E207" s="468"/>
      <c r="F207" s="468"/>
      <c r="G207" s="468"/>
    </row>
    <row r="208" spans="4:7" s="466" customFormat="1" x14ac:dyDescent="0.3">
      <c r="D208" s="468"/>
      <c r="E208" s="468"/>
      <c r="F208" s="468"/>
      <c r="G208" s="468"/>
    </row>
    <row r="209" s="466" customFormat="1" x14ac:dyDescent="0.3"/>
    <row r="210" s="466" customFormat="1" x14ac:dyDescent="0.3"/>
  </sheetData>
  <mergeCells count="12">
    <mergeCell ref="Y3:Y4"/>
    <mergeCell ref="Z3:Z4"/>
    <mergeCell ref="C3:C4"/>
    <mergeCell ref="B3:B4"/>
    <mergeCell ref="Y2:AT2"/>
    <mergeCell ref="D3:H3"/>
    <mergeCell ref="I3:M3"/>
    <mergeCell ref="N3:R3"/>
    <mergeCell ref="S3:W3"/>
    <mergeCell ref="AF3:AJ3"/>
    <mergeCell ref="AK3:AO3"/>
    <mergeCell ref="AP3:AT3"/>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133"/>
  <sheetViews>
    <sheetView topLeftCell="H22" zoomScale="70" zoomScaleNormal="70" workbookViewId="0">
      <selection activeCell="K46" sqref="K46"/>
    </sheetView>
  </sheetViews>
  <sheetFormatPr defaultColWidth="20.6640625" defaultRowHeight="20.100000000000001" customHeight="1" x14ac:dyDescent="0.3"/>
  <cols>
    <col min="1" max="11" width="20.6640625" style="234"/>
    <col min="12" max="12" width="24" style="234" bestFit="1" customWidth="1"/>
    <col min="13" max="13" width="20.6640625" style="234"/>
    <col min="14" max="14" width="25.6640625" style="234" bestFit="1" customWidth="1"/>
    <col min="15" max="17" width="20.6640625" style="234"/>
    <col min="18" max="18" width="25.6640625" style="234" bestFit="1" customWidth="1"/>
    <col min="19" max="16384" width="20.6640625" style="234"/>
  </cols>
  <sheetData>
    <row r="1" spans="1:12" ht="20.100000000000001" customHeight="1" x14ac:dyDescent="0.25">
      <c r="A1" s="1953" t="s">
        <v>398</v>
      </c>
      <c r="B1" s="1953"/>
      <c r="C1" s="1953"/>
      <c r="D1" s="1953"/>
      <c r="E1" s="609"/>
      <c r="F1" s="609"/>
      <c r="G1" s="609"/>
      <c r="H1" s="609"/>
    </row>
    <row r="2" spans="1:12" ht="20.100000000000001" customHeight="1" thickBot="1" x14ac:dyDescent="0.3">
      <c r="K2" s="388"/>
      <c r="L2" s="388"/>
    </row>
    <row r="3" spans="1:12" s="235" customFormat="1" ht="20.100000000000001" customHeight="1" x14ac:dyDescent="0.25">
      <c r="B3" s="1954" t="s">
        <v>150</v>
      </c>
      <c r="C3" s="1954"/>
      <c r="D3" s="1954"/>
      <c r="E3" s="1954"/>
      <c r="G3" s="1955" t="s">
        <v>151</v>
      </c>
      <c r="H3" s="1956"/>
      <c r="I3" s="1956"/>
      <c r="J3" s="1957"/>
      <c r="K3" s="610"/>
      <c r="L3" s="196"/>
    </row>
    <row r="4" spans="1:12" ht="40.5" customHeight="1" x14ac:dyDescent="0.25">
      <c r="B4" s="1958" t="s">
        <v>152</v>
      </c>
      <c r="C4" s="1958"/>
      <c r="D4" s="1958"/>
      <c r="E4" s="1958"/>
      <c r="G4" s="1959" t="s">
        <v>153</v>
      </c>
      <c r="H4" s="1960"/>
      <c r="I4" s="1960"/>
      <c r="J4" s="1961"/>
      <c r="K4" s="196"/>
      <c r="L4" s="388"/>
    </row>
    <row r="5" spans="1:12" ht="20.100000000000001" customHeight="1" x14ac:dyDescent="0.3">
      <c r="B5" s="236" t="s">
        <v>154</v>
      </c>
      <c r="C5" s="236" t="s">
        <v>155</v>
      </c>
      <c r="D5" s="236" t="s">
        <v>156</v>
      </c>
      <c r="E5" s="236" t="s">
        <v>157</v>
      </c>
      <c r="F5" s="394"/>
      <c r="G5" s="1950" t="s">
        <v>149</v>
      </c>
      <c r="H5" s="1951"/>
      <c r="I5" s="1951"/>
      <c r="J5" s="1952"/>
      <c r="K5" s="196"/>
      <c r="L5" s="388"/>
    </row>
    <row r="6" spans="1:12" ht="20.100000000000001" customHeight="1" x14ac:dyDescent="0.3">
      <c r="B6" s="237" t="s">
        <v>196</v>
      </c>
      <c r="C6" s="395" t="s">
        <v>198</v>
      </c>
      <c r="D6" s="239">
        <v>0</v>
      </c>
      <c r="E6" s="240">
        <v>0</v>
      </c>
      <c r="F6" s="396"/>
      <c r="G6" s="1950"/>
      <c r="H6" s="1951"/>
      <c r="I6" s="1951"/>
      <c r="J6" s="1952"/>
      <c r="K6" s="196"/>
      <c r="L6" s="388"/>
    </row>
    <row r="7" spans="1:12" ht="20.100000000000001" customHeight="1" x14ac:dyDescent="0.3">
      <c r="B7" s="237" t="s">
        <v>158</v>
      </c>
      <c r="C7" s="238" t="s">
        <v>159</v>
      </c>
      <c r="D7" s="239">
        <v>3.0000000000000001E-3</v>
      </c>
      <c r="E7" s="240">
        <v>28800</v>
      </c>
      <c r="F7" s="396"/>
      <c r="G7" s="1950" t="s">
        <v>162</v>
      </c>
      <c r="H7" s="1951"/>
      <c r="I7" s="1951"/>
      <c r="J7" s="1952"/>
      <c r="K7" s="196"/>
      <c r="L7" s="388"/>
    </row>
    <row r="8" spans="1:12" ht="20.100000000000001" customHeight="1" x14ac:dyDescent="0.3">
      <c r="B8" s="237" t="s">
        <v>160</v>
      </c>
      <c r="C8" s="238" t="s">
        <v>161</v>
      </c>
      <c r="D8" s="239">
        <v>4.7E-2</v>
      </c>
      <c r="E8" s="240">
        <v>451200</v>
      </c>
      <c r="F8" s="396"/>
      <c r="G8" s="1950"/>
      <c r="H8" s="1951"/>
      <c r="I8" s="1951"/>
      <c r="J8" s="1952"/>
      <c r="K8" s="196"/>
    </row>
    <row r="9" spans="1:12" ht="20.100000000000001" customHeight="1" x14ac:dyDescent="0.3">
      <c r="B9" s="237" t="s">
        <v>163</v>
      </c>
      <c r="C9" s="238" t="s">
        <v>164</v>
      </c>
      <c r="D9" s="239">
        <v>0.105</v>
      </c>
      <c r="E9" s="240">
        <v>1008000</v>
      </c>
      <c r="F9" s="396"/>
      <c r="G9" s="1950"/>
      <c r="H9" s="1951"/>
      <c r="I9" s="1951"/>
      <c r="J9" s="1952"/>
      <c r="K9" s="196"/>
    </row>
    <row r="10" spans="1:12" ht="20.100000000000001" customHeight="1" x14ac:dyDescent="0.3">
      <c r="B10" s="237" t="s">
        <v>165</v>
      </c>
      <c r="C10" s="238" t="s">
        <v>166</v>
      </c>
      <c r="D10" s="239">
        <v>0.26600000000000001</v>
      </c>
      <c r="E10" s="240">
        <v>2553600</v>
      </c>
      <c r="F10" s="396"/>
      <c r="G10" s="1950"/>
      <c r="H10" s="1951"/>
      <c r="I10" s="1951"/>
      <c r="J10" s="1952"/>
      <c r="K10" s="196"/>
    </row>
    <row r="11" spans="1:12" ht="20.100000000000001" customHeight="1" x14ac:dyDescent="0.3">
      <c r="B11" s="237" t="s">
        <v>167</v>
      </c>
      <c r="C11" s="238" t="s">
        <v>168</v>
      </c>
      <c r="D11" s="239">
        <v>0.59299999999999997</v>
      </c>
      <c r="E11" s="240">
        <v>5692800</v>
      </c>
      <c r="F11" s="396"/>
      <c r="G11" s="1950"/>
      <c r="H11" s="1951"/>
      <c r="I11" s="1951"/>
      <c r="J11" s="1952"/>
      <c r="K11" s="196"/>
    </row>
    <row r="12" spans="1:12" ht="20.100000000000001" customHeight="1" x14ac:dyDescent="0.3">
      <c r="B12" s="237" t="s">
        <v>169</v>
      </c>
      <c r="C12" s="238" t="s">
        <v>170</v>
      </c>
      <c r="D12" s="239">
        <v>1</v>
      </c>
      <c r="E12" s="240">
        <v>9600000</v>
      </c>
      <c r="F12" s="397"/>
      <c r="G12" s="1950"/>
      <c r="H12" s="1951"/>
      <c r="I12" s="1951"/>
      <c r="J12" s="1952"/>
      <c r="K12" s="196"/>
    </row>
    <row r="13" spans="1:12" ht="20.100000000000001" customHeight="1" thickBot="1" x14ac:dyDescent="0.35">
      <c r="G13" s="1962"/>
      <c r="H13" s="1963"/>
      <c r="I13" s="1963"/>
      <c r="J13" s="1964"/>
    </row>
    <row r="15" spans="1:12" ht="20.100000000000001" customHeight="1" x14ac:dyDescent="0.25">
      <c r="B15" s="254" t="s">
        <v>171</v>
      </c>
    </row>
    <row r="16" spans="1:12" ht="20.100000000000001" customHeight="1" x14ac:dyDescent="0.25">
      <c r="B16" s="1965" t="s">
        <v>172</v>
      </c>
      <c r="C16" s="1966"/>
      <c r="D16" s="1965" t="s">
        <v>173</v>
      </c>
      <c r="E16" s="1966"/>
    </row>
    <row r="17" spans="1:20" ht="20.100000000000001" customHeight="1" x14ac:dyDescent="0.25">
      <c r="B17" s="1965" t="s">
        <v>174</v>
      </c>
      <c r="C17" s="1966"/>
      <c r="D17" s="1965" t="s">
        <v>175</v>
      </c>
      <c r="E17" s="1966"/>
    </row>
    <row r="18" spans="1:20" ht="20.100000000000001" customHeight="1" x14ac:dyDescent="0.25">
      <c r="B18" s="392" t="s">
        <v>176</v>
      </c>
      <c r="C18" s="399" t="s">
        <v>177</v>
      </c>
      <c r="D18" s="400">
        <v>0</v>
      </c>
      <c r="E18" s="400" t="s">
        <v>177</v>
      </c>
    </row>
    <row r="19" spans="1:20" ht="20.100000000000001" customHeight="1" x14ac:dyDescent="0.25">
      <c r="B19" s="532" t="s">
        <v>178</v>
      </c>
      <c r="C19" s="265" t="s">
        <v>179</v>
      </c>
      <c r="D19" s="393">
        <v>1</v>
      </c>
      <c r="E19" s="238" t="s">
        <v>159</v>
      </c>
    </row>
    <row r="20" spans="1:20" ht="20.100000000000001" customHeight="1" x14ac:dyDescent="0.25">
      <c r="B20" s="532" t="s">
        <v>180</v>
      </c>
      <c r="C20" s="265" t="s">
        <v>181</v>
      </c>
      <c r="D20" s="393">
        <v>2</v>
      </c>
      <c r="E20" s="238" t="s">
        <v>161</v>
      </c>
    </row>
    <row r="21" spans="1:20" ht="42.75" customHeight="1" x14ac:dyDescent="0.25">
      <c r="B21" s="532" t="s">
        <v>182</v>
      </c>
      <c r="C21" s="265" t="s">
        <v>183</v>
      </c>
      <c r="D21" s="393">
        <v>3</v>
      </c>
      <c r="E21" s="238" t="s">
        <v>164</v>
      </c>
      <c r="L21" s="397"/>
      <c r="M21" s="397"/>
      <c r="N21" s="397"/>
      <c r="O21" s="397"/>
      <c r="P21" s="397"/>
      <c r="Q21" s="397"/>
      <c r="R21" s="397"/>
    </row>
    <row r="22" spans="1:20" ht="20.100000000000001" customHeight="1" x14ac:dyDescent="0.25">
      <c r="B22" s="532" t="s">
        <v>184</v>
      </c>
      <c r="C22" s="265" t="s">
        <v>185</v>
      </c>
      <c r="D22" s="393">
        <v>4</v>
      </c>
      <c r="E22" s="238" t="s">
        <v>166</v>
      </c>
      <c r="L22" s="397"/>
      <c r="M22" s="397"/>
      <c r="N22" s="397"/>
      <c r="O22" s="397"/>
      <c r="P22" s="397"/>
      <c r="Q22" s="397"/>
      <c r="R22" s="397"/>
    </row>
    <row r="23" spans="1:20" ht="20.100000000000001" customHeight="1" x14ac:dyDescent="0.25">
      <c r="B23" s="532" t="s">
        <v>186</v>
      </c>
      <c r="C23" s="266" t="s">
        <v>187</v>
      </c>
      <c r="D23" s="393">
        <v>5</v>
      </c>
      <c r="E23" s="238" t="s">
        <v>168</v>
      </c>
      <c r="L23" s="397"/>
      <c r="M23" s="397"/>
      <c r="N23" s="397"/>
      <c r="O23" s="397"/>
      <c r="P23" s="397"/>
      <c r="Q23" s="397"/>
      <c r="R23" s="397"/>
    </row>
    <row r="24" spans="1:20" ht="20.100000000000001" customHeight="1" x14ac:dyDescent="0.25">
      <c r="B24" s="401" t="s">
        <v>188</v>
      </c>
      <c r="C24" s="265" t="s">
        <v>189</v>
      </c>
      <c r="D24" s="393">
        <v>6</v>
      </c>
      <c r="E24" s="238" t="s">
        <v>190</v>
      </c>
      <c r="L24" s="397"/>
      <c r="M24" s="397"/>
      <c r="N24" s="397"/>
      <c r="O24" s="397"/>
      <c r="P24" s="397"/>
      <c r="Q24" s="397"/>
      <c r="R24" s="397"/>
    </row>
    <row r="25" spans="1:20" ht="20.100000000000001" customHeight="1" x14ac:dyDescent="0.25">
      <c r="L25" s="397"/>
      <c r="M25" s="397"/>
      <c r="N25" s="397"/>
      <c r="O25" s="397"/>
      <c r="P25" s="397"/>
      <c r="Q25" s="397"/>
      <c r="R25" s="397"/>
    </row>
    <row r="26" spans="1:20" ht="20.100000000000001" customHeight="1" x14ac:dyDescent="0.25">
      <c r="L26" s="397"/>
      <c r="M26" s="397"/>
      <c r="N26" s="397"/>
      <c r="O26" s="397"/>
      <c r="P26" s="397"/>
      <c r="Q26" s="397"/>
      <c r="R26" s="397"/>
    </row>
    <row r="27" spans="1:20" ht="20.100000000000001" customHeight="1" thickBot="1" x14ac:dyDescent="0.35">
      <c r="A27" s="388"/>
      <c r="B27" s="254" t="s">
        <v>191</v>
      </c>
      <c r="L27" s="397"/>
      <c r="M27" s="397"/>
      <c r="N27" s="397"/>
      <c r="O27" s="397"/>
      <c r="P27" s="397"/>
      <c r="Q27" s="397"/>
      <c r="R27" s="397"/>
    </row>
    <row r="28" spans="1:20" ht="34.5" customHeight="1" thickBot="1" x14ac:dyDescent="0.35">
      <c r="A28" s="611"/>
      <c r="B28" s="1941" t="s">
        <v>192</v>
      </c>
      <c r="C28" s="243" t="s">
        <v>176</v>
      </c>
      <c r="D28" s="243" t="s">
        <v>178</v>
      </c>
      <c r="E28" s="243" t="s">
        <v>180</v>
      </c>
      <c r="F28" s="243" t="s">
        <v>182</v>
      </c>
      <c r="G28" s="243" t="s">
        <v>184</v>
      </c>
      <c r="H28" s="243" t="s">
        <v>186</v>
      </c>
      <c r="I28" s="198" t="s">
        <v>193</v>
      </c>
      <c r="L28" s="1929" t="s">
        <v>612</v>
      </c>
      <c r="M28" s="1930"/>
      <c r="N28" s="1930"/>
      <c r="O28" s="1930"/>
      <c r="P28" s="1930"/>
      <c r="Q28" s="1930"/>
      <c r="R28" s="1930"/>
      <c r="S28" s="1931"/>
      <c r="T28" s="397"/>
    </row>
    <row r="29" spans="1:20" ht="20.100000000000001" customHeight="1" x14ac:dyDescent="0.3">
      <c r="A29" s="611"/>
      <c r="B29" s="1941"/>
      <c r="C29" s="198" t="s">
        <v>177</v>
      </c>
      <c r="D29" s="198" t="s">
        <v>179</v>
      </c>
      <c r="E29" s="198" t="s">
        <v>181</v>
      </c>
      <c r="F29" s="198" t="s">
        <v>183</v>
      </c>
      <c r="G29" s="198" t="s">
        <v>185</v>
      </c>
      <c r="H29" s="198" t="s">
        <v>399</v>
      </c>
      <c r="I29" s="198" t="s">
        <v>189</v>
      </c>
      <c r="L29" s="811" t="s">
        <v>597</v>
      </c>
      <c r="M29" s="399" t="s">
        <v>596</v>
      </c>
      <c r="N29" s="631" t="s">
        <v>5</v>
      </c>
      <c r="O29" s="631" t="s">
        <v>184</v>
      </c>
      <c r="P29" s="631" t="s">
        <v>611</v>
      </c>
      <c r="Q29" s="631" t="s">
        <v>180</v>
      </c>
      <c r="R29" s="631" t="s">
        <v>178</v>
      </c>
      <c r="S29" s="812" t="s">
        <v>436</v>
      </c>
      <c r="T29" s="397"/>
    </row>
    <row r="30" spans="1:20" ht="20.100000000000001" customHeight="1" x14ac:dyDescent="0.3">
      <c r="A30" s="611"/>
      <c r="B30" s="402">
        <v>0</v>
      </c>
      <c r="C30" s="404">
        <v>0.92534000000000005</v>
      </c>
      <c r="D30" s="404">
        <v>0.23436999999999999</v>
      </c>
      <c r="E30" s="404">
        <v>8.3470000000000003E-2</v>
      </c>
      <c r="F30" s="404">
        <v>3.4369999999999998E-2</v>
      </c>
      <c r="G30" s="404">
        <v>0</v>
      </c>
      <c r="H30" s="404">
        <v>0.21537999999999999</v>
      </c>
      <c r="I30" s="404">
        <v>0.43675999999999998</v>
      </c>
      <c r="L30" s="796" t="s">
        <v>583</v>
      </c>
      <c r="M30" s="801">
        <f>VMT.VHT.ADT.Trip.Tables!U10</f>
        <v>740703445.50686574</v>
      </c>
      <c r="N30" s="668">
        <v>1486</v>
      </c>
      <c r="O30" s="668">
        <v>8</v>
      </c>
      <c r="P30" s="668">
        <v>24</v>
      </c>
      <c r="Q30" s="267">
        <v>137</v>
      </c>
      <c r="R30" s="267">
        <v>257</v>
      </c>
      <c r="S30" s="797">
        <v>1061</v>
      </c>
      <c r="T30" s="397"/>
    </row>
    <row r="31" spans="1:20" ht="20.100000000000001" customHeight="1" x14ac:dyDescent="0.3">
      <c r="A31" s="611"/>
      <c r="B31" s="402">
        <v>1</v>
      </c>
      <c r="C31" s="404">
        <v>7.2569999999999996E-2</v>
      </c>
      <c r="D31" s="404">
        <v>0.68945999999999996</v>
      </c>
      <c r="E31" s="404">
        <v>0.76842999999999995</v>
      </c>
      <c r="F31" s="404">
        <v>0.55449000000000004</v>
      </c>
      <c r="G31" s="404">
        <v>0</v>
      </c>
      <c r="H31" s="404">
        <v>0.62727999999999995</v>
      </c>
      <c r="I31" s="404">
        <v>0.41738999999999998</v>
      </c>
      <c r="L31" s="796" t="s">
        <v>595</v>
      </c>
      <c r="M31" s="801">
        <f>VMT.VHT.ADT.Trip.Tables!U18</f>
        <v>882221271.69742501</v>
      </c>
      <c r="N31" s="668">
        <v>1199</v>
      </c>
      <c r="O31" s="668">
        <v>7</v>
      </c>
      <c r="P31" s="668">
        <v>22</v>
      </c>
      <c r="Q31" s="267">
        <v>123</v>
      </c>
      <c r="R31" s="267">
        <v>248</v>
      </c>
      <c r="S31" s="797">
        <v>799</v>
      </c>
      <c r="T31" s="397"/>
    </row>
    <row r="32" spans="1:20" ht="20.100000000000001" customHeight="1" thickBot="1" x14ac:dyDescent="0.35">
      <c r="A32" s="611"/>
      <c r="B32" s="402">
        <v>2</v>
      </c>
      <c r="C32" s="404">
        <v>1.98E-3</v>
      </c>
      <c r="D32" s="404">
        <v>6.3909999999999995E-2</v>
      </c>
      <c r="E32" s="404">
        <v>0.10897999999999999</v>
      </c>
      <c r="F32" s="404">
        <v>0.20907999999999999</v>
      </c>
      <c r="G32" s="404">
        <v>0</v>
      </c>
      <c r="H32" s="404">
        <v>0.104</v>
      </c>
      <c r="I32" s="404">
        <v>8.8719999999999993E-2</v>
      </c>
      <c r="L32" s="798" t="s">
        <v>594</v>
      </c>
      <c r="M32" s="802">
        <f>VMT.VHT.ADT.Trip.Tables!U26</f>
        <v>888921862.78142834</v>
      </c>
      <c r="N32" s="804">
        <v>1205</v>
      </c>
      <c r="O32" s="804">
        <v>7</v>
      </c>
      <c r="P32" s="804">
        <v>22</v>
      </c>
      <c r="Q32" s="799">
        <v>126</v>
      </c>
      <c r="R32" s="799">
        <v>259</v>
      </c>
      <c r="S32" s="800">
        <v>790</v>
      </c>
      <c r="T32" s="397"/>
    </row>
    <row r="33" spans="1:27" ht="20.100000000000001" customHeight="1" x14ac:dyDescent="0.3">
      <c r="A33" s="611"/>
      <c r="B33" s="402">
        <v>3</v>
      </c>
      <c r="C33" s="404">
        <v>8.0000000000000007E-5</v>
      </c>
      <c r="D33" s="404">
        <v>1.0710000000000001E-2</v>
      </c>
      <c r="E33" s="404">
        <v>3.1910000000000001E-2</v>
      </c>
      <c r="F33" s="404">
        <v>0.14437</v>
      </c>
      <c r="G33" s="404">
        <v>0</v>
      </c>
      <c r="H33" s="404">
        <v>3.8580000000000003E-2</v>
      </c>
      <c r="I33" s="404">
        <v>4.8169999999999998E-2</v>
      </c>
      <c r="T33" s="397"/>
    </row>
    <row r="34" spans="1:27" ht="20.100000000000001" customHeight="1" x14ac:dyDescent="0.3">
      <c r="A34" s="611"/>
      <c r="B34" s="402">
        <v>4</v>
      </c>
      <c r="C34" s="404">
        <v>0</v>
      </c>
      <c r="D34" s="404">
        <v>1.42E-3</v>
      </c>
      <c r="E34" s="404">
        <v>6.1999999999999998E-3</v>
      </c>
      <c r="F34" s="404">
        <v>3.986E-2</v>
      </c>
      <c r="G34" s="404">
        <v>0</v>
      </c>
      <c r="H34" s="404">
        <v>4.4200000000000003E-3</v>
      </c>
      <c r="I34" s="404">
        <v>6.1700000000000001E-3</v>
      </c>
      <c r="T34" s="397"/>
    </row>
    <row r="35" spans="1:27" ht="20.100000000000001" customHeight="1" thickBot="1" x14ac:dyDescent="0.35">
      <c r="A35" s="611"/>
      <c r="B35" s="402">
        <v>5</v>
      </c>
      <c r="C35" s="404">
        <v>3.0000000000000001E-5</v>
      </c>
      <c r="D35" s="404">
        <v>1.2999999999999999E-4</v>
      </c>
      <c r="E35" s="404">
        <v>1.01E-3</v>
      </c>
      <c r="F35" s="404">
        <v>1.7829999999999999E-2</v>
      </c>
      <c r="G35" s="404">
        <v>0</v>
      </c>
      <c r="H35" s="404">
        <v>1.034E-2</v>
      </c>
      <c r="I35" s="404">
        <v>2.7899999999999999E-3</v>
      </c>
      <c r="L35" s="397"/>
      <c r="M35" s="397"/>
      <c r="N35" s="397"/>
      <c r="O35" s="397"/>
      <c r="P35" s="397"/>
      <c r="Q35" s="397"/>
      <c r="R35" s="397"/>
      <c r="S35" s="397"/>
      <c r="T35" s="397"/>
    </row>
    <row r="36" spans="1:27" ht="20.100000000000001" customHeight="1" thickBot="1" x14ac:dyDescent="0.35">
      <c r="A36" s="611"/>
      <c r="B36" s="402">
        <v>6</v>
      </c>
      <c r="C36" s="404">
        <v>0</v>
      </c>
      <c r="D36" s="404">
        <v>0</v>
      </c>
      <c r="E36" s="404">
        <v>0</v>
      </c>
      <c r="F36" s="404">
        <v>0</v>
      </c>
      <c r="G36" s="404">
        <v>1</v>
      </c>
      <c r="H36" s="404">
        <v>0</v>
      </c>
      <c r="I36" s="404">
        <v>0</v>
      </c>
      <c r="L36" s="1929" t="s">
        <v>613</v>
      </c>
      <c r="M36" s="1930"/>
      <c r="N36" s="1930"/>
      <c r="O36" s="1930"/>
      <c r="P36" s="1930"/>
      <c r="Q36" s="1930"/>
      <c r="R36" s="1930"/>
      <c r="S36" s="1931"/>
      <c r="T36" s="397"/>
    </row>
    <row r="37" spans="1:27" ht="20.100000000000001" customHeight="1" x14ac:dyDescent="0.3">
      <c r="A37" s="611"/>
      <c r="B37" s="402" t="s">
        <v>194</v>
      </c>
      <c r="C37" s="404">
        <f>SUM(C30:C36)</f>
        <v>1</v>
      </c>
      <c r="D37" s="404">
        <f t="shared" ref="D37:I37" si="0">SUM(D30:D36)</f>
        <v>0.99999999999999989</v>
      </c>
      <c r="E37" s="404">
        <f t="shared" si="0"/>
        <v>0.99999999999999989</v>
      </c>
      <c r="F37" s="404">
        <f t="shared" si="0"/>
        <v>1</v>
      </c>
      <c r="G37" s="404">
        <f t="shared" si="0"/>
        <v>1</v>
      </c>
      <c r="H37" s="404">
        <f t="shared" si="0"/>
        <v>0.99999999999999989</v>
      </c>
      <c r="I37" s="404">
        <f t="shared" si="0"/>
        <v>1</v>
      </c>
      <c r="L37" s="805" t="s">
        <v>597</v>
      </c>
      <c r="M37" s="803" t="s">
        <v>596</v>
      </c>
      <c r="N37" s="794" t="s">
        <v>5</v>
      </c>
      <c r="O37" s="794" t="s">
        <v>184</v>
      </c>
      <c r="P37" s="794" t="s">
        <v>611</v>
      </c>
      <c r="Q37" s="794" t="s">
        <v>180</v>
      </c>
      <c r="R37" s="794" t="s">
        <v>178</v>
      </c>
      <c r="S37" s="795" t="s">
        <v>436</v>
      </c>
      <c r="T37" s="397"/>
    </row>
    <row r="38" spans="1:27" ht="20.100000000000001" customHeight="1" x14ac:dyDescent="0.25">
      <c r="A38" s="388"/>
      <c r="L38" s="796" t="s">
        <v>583</v>
      </c>
      <c r="M38" s="801">
        <f>M30</f>
        <v>740703445.50686574</v>
      </c>
      <c r="N38" s="806">
        <f>N30/$M30*1000000</f>
        <v>2.0062010093433891</v>
      </c>
      <c r="O38" s="806">
        <f t="shared" ref="O38:S38" si="1">O30/$M30*1000000</f>
        <v>1.080054379188904E-2</v>
      </c>
      <c r="P38" s="806">
        <f t="shared" si="1"/>
        <v>3.2401631375667116E-2</v>
      </c>
      <c r="Q38" s="806">
        <f t="shared" si="1"/>
        <v>0.18495931243609978</v>
      </c>
      <c r="R38" s="806">
        <f t="shared" si="1"/>
        <v>0.34696746931443539</v>
      </c>
      <c r="S38" s="807">
        <f t="shared" si="1"/>
        <v>1.4324221203992837</v>
      </c>
    </row>
    <row r="39" spans="1:27" ht="20.100000000000001" customHeight="1" x14ac:dyDescent="0.25">
      <c r="B39" s="254" t="s">
        <v>400</v>
      </c>
      <c r="L39" s="796" t="s">
        <v>595</v>
      </c>
      <c r="M39" s="801">
        <f>M31</f>
        <v>882221271.69742501</v>
      </c>
      <c r="N39" s="806">
        <f>N31/$M31*1000000</f>
        <v>1.3590694743656333</v>
      </c>
      <c r="O39" s="806">
        <f t="shared" ref="O39:S40" si="2">O31/$M31*1000000</f>
        <v>7.934517364936975E-3</v>
      </c>
      <c r="P39" s="806">
        <f t="shared" si="2"/>
        <v>2.4937054575516208E-2</v>
      </c>
      <c r="Q39" s="806">
        <f t="shared" si="2"/>
        <v>0.1394208051267497</v>
      </c>
      <c r="R39" s="806">
        <f t="shared" si="2"/>
        <v>0.28110861521490998</v>
      </c>
      <c r="S39" s="807">
        <f t="shared" si="2"/>
        <v>0.90566848208352047</v>
      </c>
    </row>
    <row r="40" spans="1:27" ht="20.100000000000001" customHeight="1" thickBot="1" x14ac:dyDescent="0.3">
      <c r="C40" s="243" t="s">
        <v>176</v>
      </c>
      <c r="D40" s="243" t="s">
        <v>178</v>
      </c>
      <c r="E40" s="243" t="s">
        <v>180</v>
      </c>
      <c r="F40" s="243" t="s">
        <v>182</v>
      </c>
      <c r="G40" s="243" t="s">
        <v>184</v>
      </c>
      <c r="H40" s="243" t="s">
        <v>186</v>
      </c>
      <c r="I40" s="198" t="s">
        <v>193</v>
      </c>
      <c r="L40" s="798" t="s">
        <v>594</v>
      </c>
      <c r="M40" s="804">
        <f>M32</f>
        <v>888921862.78142834</v>
      </c>
      <c r="N40" s="808">
        <f>N32/$M32*1000000</f>
        <v>1.3555747141031789</v>
      </c>
      <c r="O40" s="808">
        <f t="shared" si="2"/>
        <v>7.8747078827570566E-3</v>
      </c>
      <c r="P40" s="808">
        <f t="shared" si="2"/>
        <v>2.4749081917236463E-2</v>
      </c>
      <c r="Q40" s="808">
        <f t="shared" si="2"/>
        <v>0.14174474188962702</v>
      </c>
      <c r="R40" s="808">
        <f t="shared" si="2"/>
        <v>0.29136419166201111</v>
      </c>
      <c r="S40" s="809">
        <f t="shared" si="2"/>
        <v>0.88871703248258216</v>
      </c>
    </row>
    <row r="41" spans="1:27" ht="20.100000000000001" customHeight="1" x14ac:dyDescent="0.25">
      <c r="B41" s="199"/>
      <c r="C41" s="198" t="s">
        <v>177</v>
      </c>
      <c r="D41" s="198" t="s">
        <v>179</v>
      </c>
      <c r="E41" s="198" t="s">
        <v>181</v>
      </c>
      <c r="F41" s="198" t="s">
        <v>183</v>
      </c>
      <c r="G41" s="198" t="s">
        <v>185</v>
      </c>
      <c r="H41" s="198" t="s">
        <v>399</v>
      </c>
      <c r="I41" s="198" t="s">
        <v>189</v>
      </c>
    </row>
    <row r="42" spans="1:27" ht="20.100000000000001" customHeight="1" x14ac:dyDescent="0.25">
      <c r="B42" s="251" t="s">
        <v>195</v>
      </c>
      <c r="C42" s="612">
        <v>1</v>
      </c>
      <c r="D42" s="612">
        <v>1</v>
      </c>
      <c r="E42" s="612">
        <v>1</v>
      </c>
      <c r="F42" s="612">
        <v>1</v>
      </c>
      <c r="G42" s="612">
        <v>1</v>
      </c>
      <c r="H42" s="612">
        <v>1</v>
      </c>
      <c r="I42" s="612">
        <v>1</v>
      </c>
      <c r="J42" s="252"/>
    </row>
    <row r="43" spans="1:27" ht="20.100000000000001" customHeight="1" x14ac:dyDescent="0.25">
      <c r="B43" s="198" t="s">
        <v>196</v>
      </c>
      <c r="C43" s="405">
        <f t="shared" ref="C43:C49" si="3">$E6*C30*$C$42</f>
        <v>0</v>
      </c>
      <c r="D43" s="405">
        <f>$E6*D30*$D$42</f>
        <v>0</v>
      </c>
      <c r="E43" s="406">
        <f>$E6*E30*$E$42</f>
        <v>0</v>
      </c>
      <c r="F43" s="405">
        <f>$E6*F30*$F$42</f>
        <v>0</v>
      </c>
      <c r="G43" s="405">
        <f>$E6*G30*$G$42</f>
        <v>0</v>
      </c>
      <c r="H43" s="405">
        <f t="shared" ref="H43:H49" si="4">$E6*H30*$H$42</f>
        <v>0</v>
      </c>
      <c r="I43" s="405">
        <f>$E6*I30*$I$42</f>
        <v>0</v>
      </c>
      <c r="J43" s="199"/>
    </row>
    <row r="44" spans="1:27" ht="20.100000000000001" customHeight="1" x14ac:dyDescent="0.25">
      <c r="B44" s="198" t="s">
        <v>158</v>
      </c>
      <c r="C44" s="405">
        <f t="shared" si="3"/>
        <v>2090.0160000000001</v>
      </c>
      <c r="D44" s="405">
        <f t="shared" ref="D44:D49" si="5">$E7*D31*$D$42</f>
        <v>19856.448</v>
      </c>
      <c r="E44" s="406">
        <f t="shared" ref="E44:E49" si="6">$E7*E31*$E$42</f>
        <v>22130.784</v>
      </c>
      <c r="F44" s="405">
        <f t="shared" ref="F44:F49" si="7">$E7*F31*$F$42</f>
        <v>15969.312000000002</v>
      </c>
      <c r="G44" s="405">
        <f t="shared" ref="G44:G49" si="8">$E7*G31*$G$42</f>
        <v>0</v>
      </c>
      <c r="H44" s="405">
        <f t="shared" si="4"/>
        <v>18065.663999999997</v>
      </c>
      <c r="I44" s="405">
        <f t="shared" ref="I44:I49" si="9">$E7*I31*$I$42</f>
        <v>12020.832</v>
      </c>
      <c r="Z44" s="407"/>
      <c r="AA44" s="285"/>
    </row>
    <row r="45" spans="1:27" ht="20.100000000000001" customHeight="1" x14ac:dyDescent="0.25">
      <c r="B45" s="198" t="s">
        <v>160</v>
      </c>
      <c r="C45" s="405">
        <f t="shared" si="3"/>
        <v>893.37599999999998</v>
      </c>
      <c r="D45" s="405">
        <f t="shared" si="5"/>
        <v>28836.191999999999</v>
      </c>
      <c r="E45" s="406">
        <f t="shared" si="6"/>
        <v>49171.775999999998</v>
      </c>
      <c r="F45" s="405">
        <f t="shared" si="7"/>
        <v>94336.895999999993</v>
      </c>
      <c r="G45" s="405">
        <f t="shared" si="8"/>
        <v>0</v>
      </c>
      <c r="H45" s="405">
        <f t="shared" si="4"/>
        <v>46924.799999999996</v>
      </c>
      <c r="I45" s="405">
        <f t="shared" si="9"/>
        <v>40030.464</v>
      </c>
      <c r="L45" s="397"/>
      <c r="M45" s="397"/>
      <c r="N45" s="397"/>
      <c r="O45" s="397"/>
      <c r="P45" s="397"/>
      <c r="Q45" s="397"/>
      <c r="Z45" s="407"/>
      <c r="AA45" s="285"/>
    </row>
    <row r="46" spans="1:27" ht="20.100000000000001" customHeight="1" x14ac:dyDescent="0.25">
      <c r="B46" s="198" t="s">
        <v>163</v>
      </c>
      <c r="C46" s="405">
        <f t="shared" si="3"/>
        <v>80.64</v>
      </c>
      <c r="D46" s="405">
        <f t="shared" si="5"/>
        <v>10795.68</v>
      </c>
      <c r="E46" s="406">
        <f t="shared" si="6"/>
        <v>32165.280000000002</v>
      </c>
      <c r="F46" s="405">
        <f t="shared" si="7"/>
        <v>145524.96</v>
      </c>
      <c r="G46" s="405">
        <f t="shared" si="8"/>
        <v>0</v>
      </c>
      <c r="H46" s="405">
        <f t="shared" si="4"/>
        <v>38888.640000000007</v>
      </c>
      <c r="I46" s="405">
        <f t="shared" si="9"/>
        <v>48555.360000000001</v>
      </c>
      <c r="L46" s="397"/>
      <c r="M46" s="397"/>
      <c r="N46" s="397"/>
      <c r="O46" s="397"/>
      <c r="P46" s="397"/>
      <c r="Q46" s="397"/>
      <c r="Z46" s="407"/>
      <c r="AA46" s="285"/>
    </row>
    <row r="47" spans="1:27" ht="20.100000000000001" customHeight="1" x14ac:dyDescent="0.25">
      <c r="B47" s="198" t="s">
        <v>165</v>
      </c>
      <c r="C47" s="405">
        <f t="shared" si="3"/>
        <v>0</v>
      </c>
      <c r="D47" s="405">
        <f t="shared" si="5"/>
        <v>3626.1120000000001</v>
      </c>
      <c r="E47" s="406">
        <f t="shared" si="6"/>
        <v>15832.32</v>
      </c>
      <c r="F47" s="405">
        <f t="shared" si="7"/>
        <v>101786.496</v>
      </c>
      <c r="G47" s="405">
        <f t="shared" si="8"/>
        <v>0</v>
      </c>
      <c r="H47" s="405">
        <f t="shared" si="4"/>
        <v>11286.912</v>
      </c>
      <c r="I47" s="405">
        <f t="shared" si="9"/>
        <v>15755.712</v>
      </c>
      <c r="L47" s="397"/>
      <c r="M47" s="397"/>
      <c r="N47" s="397"/>
      <c r="O47" s="397"/>
      <c r="P47" s="397"/>
      <c r="Q47" s="397"/>
    </row>
    <row r="48" spans="1:27" ht="20.100000000000001" customHeight="1" x14ac:dyDescent="0.25">
      <c r="B48" s="198" t="s">
        <v>167</v>
      </c>
      <c r="C48" s="405">
        <f t="shared" si="3"/>
        <v>170.78399999999999</v>
      </c>
      <c r="D48" s="405">
        <f t="shared" si="5"/>
        <v>740.06399999999996</v>
      </c>
      <c r="E48" s="406">
        <f t="shared" si="6"/>
        <v>5749.7280000000001</v>
      </c>
      <c r="F48" s="405">
        <f t="shared" si="7"/>
        <v>101502.624</v>
      </c>
      <c r="G48" s="405">
        <f t="shared" si="8"/>
        <v>0</v>
      </c>
      <c r="H48" s="405">
        <f t="shared" si="4"/>
        <v>58863.552000000003</v>
      </c>
      <c r="I48" s="405">
        <f t="shared" si="9"/>
        <v>15882.912</v>
      </c>
      <c r="L48" s="397"/>
      <c r="M48" s="397"/>
      <c r="N48" s="397"/>
      <c r="O48" s="397"/>
      <c r="P48" s="397"/>
      <c r="Q48" s="397"/>
    </row>
    <row r="49" spans="1:32" ht="20.100000000000001" customHeight="1" x14ac:dyDescent="0.25">
      <c r="B49" s="198" t="s">
        <v>169</v>
      </c>
      <c r="C49" s="405">
        <f t="shared" si="3"/>
        <v>0</v>
      </c>
      <c r="D49" s="405">
        <f t="shared" si="5"/>
        <v>0</v>
      </c>
      <c r="E49" s="406">
        <f t="shared" si="6"/>
        <v>0</v>
      </c>
      <c r="F49" s="405">
        <f t="shared" si="7"/>
        <v>0</v>
      </c>
      <c r="G49" s="405">
        <f t="shared" si="8"/>
        <v>9600000</v>
      </c>
      <c r="H49" s="405">
        <f t="shared" si="4"/>
        <v>0</v>
      </c>
      <c r="I49" s="405">
        <f t="shared" si="9"/>
        <v>0</v>
      </c>
      <c r="L49" s="397"/>
      <c r="M49" s="397"/>
      <c r="N49" s="397"/>
      <c r="O49" s="397"/>
      <c r="P49" s="397"/>
      <c r="Q49" s="397"/>
    </row>
    <row r="50" spans="1:32" ht="20.100000000000001" customHeight="1" x14ac:dyDescent="0.25">
      <c r="B50" s="247" t="s">
        <v>197</v>
      </c>
      <c r="C50" s="613">
        <f t="shared" ref="C50:I50" si="10">SUM(C43:C49)</f>
        <v>3234.8159999999998</v>
      </c>
      <c r="D50" s="613">
        <f t="shared" si="10"/>
        <v>63854.495999999999</v>
      </c>
      <c r="E50" s="613">
        <f t="shared" si="10"/>
        <v>125049.88800000001</v>
      </c>
      <c r="F50" s="613">
        <f t="shared" si="10"/>
        <v>459120.288</v>
      </c>
      <c r="G50" s="613">
        <f t="shared" si="10"/>
        <v>9600000</v>
      </c>
      <c r="H50" s="613">
        <f t="shared" si="10"/>
        <v>174029.568</v>
      </c>
      <c r="I50" s="613">
        <f t="shared" si="10"/>
        <v>132245.28</v>
      </c>
      <c r="L50" s="397"/>
      <c r="M50" s="397"/>
      <c r="N50" s="397"/>
      <c r="O50" s="397"/>
      <c r="P50" s="397"/>
      <c r="Q50" s="397"/>
    </row>
    <row r="51" spans="1:32" ht="20.100000000000001" customHeight="1" x14ac:dyDescent="0.25">
      <c r="L51" s="397"/>
      <c r="M51" s="397"/>
      <c r="N51" s="397"/>
      <c r="O51" s="397"/>
      <c r="P51" s="397"/>
      <c r="Q51" s="397"/>
      <c r="AF51" s="603"/>
    </row>
    <row r="52" spans="1:32" s="397" customFormat="1" ht="20.100000000000001" customHeight="1" x14ac:dyDescent="0.25">
      <c r="B52" s="1942" t="s">
        <v>401</v>
      </c>
      <c r="C52" s="1942"/>
      <c r="D52" s="1942"/>
      <c r="E52" s="1942"/>
      <c r="F52" s="1942"/>
      <c r="K52" s="234"/>
      <c r="AF52" s="603"/>
    </row>
    <row r="53" spans="1:32" s="397" customFormat="1" ht="20.100000000000001" customHeight="1" x14ac:dyDescent="0.25">
      <c r="B53" s="572" t="s">
        <v>7</v>
      </c>
      <c r="C53" s="572" t="s">
        <v>402</v>
      </c>
      <c r="D53" s="572" t="s">
        <v>403</v>
      </c>
      <c r="E53" s="572" t="s">
        <v>404</v>
      </c>
      <c r="F53" s="572" t="s">
        <v>405</v>
      </c>
      <c r="H53" s="276"/>
      <c r="K53" s="234"/>
      <c r="Z53" s="603"/>
      <c r="AA53" s="603"/>
      <c r="AB53" s="603"/>
      <c r="AC53" s="603"/>
      <c r="AD53" s="603"/>
      <c r="AE53" s="603"/>
      <c r="AF53" s="603"/>
    </row>
    <row r="54" spans="1:32" s="397" customFormat="1" ht="20.100000000000001" customHeight="1" x14ac:dyDescent="0.25">
      <c r="B54" s="393">
        <v>2010</v>
      </c>
      <c r="C54" s="615"/>
      <c r="D54" s="615"/>
      <c r="E54" s="615"/>
      <c r="F54" s="615"/>
      <c r="H54" s="199"/>
      <c r="K54" s="234"/>
      <c r="AA54" s="603"/>
      <c r="AB54" s="603"/>
      <c r="AC54" s="603"/>
      <c r="AD54" s="603"/>
      <c r="AE54" s="603"/>
      <c r="AF54" s="603"/>
    </row>
    <row r="55" spans="1:32" s="397" customFormat="1" ht="20.100000000000001" customHeight="1" x14ac:dyDescent="0.25">
      <c r="B55" s="393">
        <v>2011</v>
      </c>
      <c r="C55" s="615"/>
      <c r="D55" s="615"/>
      <c r="E55" s="615"/>
      <c r="F55" s="615"/>
      <c r="H55" s="199"/>
      <c r="K55" s="234"/>
      <c r="AA55" s="603"/>
      <c r="AB55" s="603"/>
      <c r="AC55" s="603"/>
      <c r="AD55" s="603"/>
      <c r="AE55" s="603"/>
      <c r="AF55" s="603"/>
    </row>
    <row r="56" spans="1:32" s="397" customFormat="1" ht="20.100000000000001" customHeight="1" x14ac:dyDescent="0.3">
      <c r="B56" s="393">
        <v>2012</v>
      </c>
      <c r="C56" s="615"/>
      <c r="D56" s="615"/>
      <c r="E56" s="615"/>
      <c r="F56" s="615"/>
      <c r="H56" s="199"/>
      <c r="K56" s="234"/>
      <c r="Z56" s="603"/>
      <c r="AA56" s="603"/>
      <c r="AB56" s="614"/>
      <c r="AC56" s="603"/>
      <c r="AD56" s="603"/>
      <c r="AE56" s="603"/>
      <c r="AF56" s="603"/>
    </row>
    <row r="57" spans="1:32" s="397" customFormat="1" ht="20.100000000000001" customHeight="1" x14ac:dyDescent="0.3">
      <c r="B57" s="393">
        <v>2013</v>
      </c>
      <c r="C57" s="615"/>
      <c r="D57" s="615"/>
      <c r="E57" s="615"/>
      <c r="F57" s="615"/>
      <c r="H57" s="199"/>
      <c r="I57" s="199"/>
      <c r="K57" s="234"/>
      <c r="Z57" s="603"/>
      <c r="AA57" s="603"/>
      <c r="AB57" s="603"/>
      <c r="AC57" s="603"/>
      <c r="AD57" s="603"/>
      <c r="AE57" s="603"/>
      <c r="AF57" s="603"/>
    </row>
    <row r="58" spans="1:32" s="397" customFormat="1" ht="20.100000000000001" customHeight="1" x14ac:dyDescent="0.3">
      <c r="B58" s="393">
        <v>2014</v>
      </c>
      <c r="C58" s="615"/>
      <c r="D58" s="615"/>
      <c r="E58" s="615"/>
      <c r="F58" s="615"/>
      <c r="H58" s="199"/>
      <c r="I58" s="199"/>
      <c r="K58" s="234"/>
      <c r="Z58" s="603"/>
      <c r="AA58" s="603"/>
      <c r="AB58" s="603"/>
      <c r="AC58" s="603"/>
      <c r="AD58" s="603"/>
      <c r="AE58" s="603"/>
      <c r="AF58" s="603"/>
    </row>
    <row r="59" spans="1:32" s="397" customFormat="1" ht="20.100000000000001" customHeight="1" x14ac:dyDescent="0.3">
      <c r="A59" s="616"/>
      <c r="B59" s="1943" t="s">
        <v>406</v>
      </c>
      <c r="C59" s="1944"/>
      <c r="D59" s="1945"/>
      <c r="E59" s="617" t="e">
        <f>AVERAGE(E54:E58)</f>
        <v>#DIV/0!</v>
      </c>
      <c r="F59" s="618"/>
      <c r="K59" s="234"/>
      <c r="L59" s="234"/>
      <c r="M59" s="234"/>
      <c r="N59" s="234"/>
      <c r="O59" s="234"/>
      <c r="P59" s="234"/>
      <c r="Z59" s="603"/>
      <c r="AA59" s="603"/>
      <c r="AB59" s="603"/>
      <c r="AC59" s="603"/>
      <c r="AD59" s="603"/>
      <c r="AE59" s="603"/>
      <c r="AF59" s="603"/>
    </row>
    <row r="60" spans="1:32" s="397" customFormat="1" ht="20.100000000000001" customHeight="1" x14ac:dyDescent="0.3">
      <c r="B60" s="1946" t="s">
        <v>407</v>
      </c>
      <c r="C60" s="1947"/>
      <c r="D60" s="1948"/>
      <c r="E60" s="619" t="e">
        <f>E59*365/100000000</f>
        <v>#DIV/0!</v>
      </c>
      <c r="F60" s="618"/>
      <c r="K60" s="234"/>
      <c r="L60" s="234"/>
      <c r="M60" s="234"/>
      <c r="N60" s="234"/>
      <c r="O60" s="234"/>
      <c r="Z60" s="603"/>
      <c r="AA60" s="603"/>
      <c r="AB60" s="603"/>
      <c r="AC60" s="603"/>
      <c r="AD60" s="603"/>
      <c r="AE60" s="603"/>
      <c r="AF60" s="603"/>
    </row>
    <row r="61" spans="1:32" s="397" customFormat="1" ht="20.100000000000001" customHeight="1" x14ac:dyDescent="0.3">
      <c r="B61" s="620" t="s">
        <v>408</v>
      </c>
      <c r="C61" s="621"/>
      <c r="D61" s="621"/>
      <c r="E61" s="621"/>
      <c r="F61" s="621"/>
      <c r="K61" s="234"/>
      <c r="L61" s="234"/>
      <c r="M61" s="622"/>
      <c r="N61" s="234"/>
      <c r="O61" s="234"/>
      <c r="Z61" s="603"/>
      <c r="AA61" s="603"/>
      <c r="AB61" s="603"/>
      <c r="AC61" s="603"/>
      <c r="AD61" s="603"/>
      <c r="AE61" s="603"/>
      <c r="AF61" s="603"/>
    </row>
    <row r="62" spans="1:32" s="397" customFormat="1" ht="20.100000000000001" customHeight="1" x14ac:dyDescent="0.3">
      <c r="B62" s="591" t="s">
        <v>409</v>
      </c>
      <c r="C62" s="591"/>
      <c r="D62" s="591"/>
      <c r="E62" s="591"/>
      <c r="F62" s="591"/>
      <c r="G62" s="623"/>
      <c r="K62" s="234"/>
      <c r="L62" s="234"/>
      <c r="M62" s="622"/>
      <c r="N62" s="234"/>
      <c r="O62" s="234"/>
      <c r="Z62" s="603" t="s">
        <v>286</v>
      </c>
      <c r="AA62" s="603"/>
      <c r="AB62" s="603"/>
      <c r="AC62" s="603"/>
      <c r="AD62" s="603"/>
      <c r="AE62" s="603"/>
      <c r="AF62" s="603"/>
    </row>
    <row r="63" spans="1:32" s="397" customFormat="1" ht="20.100000000000001" customHeight="1" x14ac:dyDescent="0.3">
      <c r="B63" s="591" t="s">
        <v>410</v>
      </c>
      <c r="C63" s="591"/>
      <c r="D63" s="591"/>
      <c r="E63" s="591"/>
      <c r="F63" s="591"/>
      <c r="G63" s="623"/>
      <c r="K63" s="234"/>
      <c r="L63" s="234"/>
      <c r="M63" s="622"/>
      <c r="N63" s="234"/>
      <c r="O63" s="234"/>
      <c r="Z63" s="603" t="s">
        <v>411</v>
      </c>
      <c r="AA63" s="603"/>
      <c r="AB63" s="603"/>
      <c r="AC63" s="603"/>
      <c r="AD63" s="603"/>
      <c r="AE63" s="603"/>
      <c r="AF63" s="603"/>
    </row>
    <row r="64" spans="1:32" s="397" customFormat="1" ht="20.100000000000001" customHeight="1" x14ac:dyDescent="0.3">
      <c r="B64" s="591" t="s">
        <v>286</v>
      </c>
      <c r="C64" s="591"/>
      <c r="D64" s="591"/>
      <c r="E64" s="591"/>
      <c r="F64" s="591"/>
      <c r="G64" s="623"/>
    </row>
    <row r="65" spans="2:15" s="397" customFormat="1" ht="20.100000000000001" customHeight="1" x14ac:dyDescent="0.3">
      <c r="B65" s="1949" t="s">
        <v>412</v>
      </c>
      <c r="C65" s="1949"/>
      <c r="D65" s="1949"/>
      <c r="E65" s="1949"/>
      <c r="F65" s="1949"/>
      <c r="G65" s="623"/>
    </row>
    <row r="66" spans="2:15" s="397" customFormat="1" ht="20.100000000000001" customHeight="1" x14ac:dyDescent="0.3">
      <c r="B66" s="591" t="s">
        <v>413</v>
      </c>
      <c r="C66" s="591"/>
      <c r="D66" s="591"/>
      <c r="E66" s="591"/>
      <c r="F66" s="591"/>
      <c r="G66" s="623"/>
    </row>
    <row r="67" spans="2:15" s="397" customFormat="1" ht="20.100000000000001" customHeight="1" x14ac:dyDescent="0.3">
      <c r="B67" s="1949" t="s">
        <v>414</v>
      </c>
      <c r="C67" s="1949"/>
      <c r="D67" s="1949"/>
      <c r="E67" s="1949"/>
      <c r="F67" s="1949"/>
      <c r="G67" s="623"/>
    </row>
    <row r="68" spans="2:15" s="397" customFormat="1" ht="20.100000000000001" customHeight="1" x14ac:dyDescent="0.3">
      <c r="B68" s="624" t="s">
        <v>415</v>
      </c>
      <c r="C68" s="591"/>
      <c r="D68" s="591"/>
      <c r="E68" s="591"/>
      <c r="F68" s="591"/>
      <c r="G68" s="623"/>
    </row>
    <row r="69" spans="2:15" s="397" customFormat="1" ht="20.100000000000001" customHeight="1" thickBot="1" x14ac:dyDescent="0.35">
      <c r="B69" s="603"/>
    </row>
    <row r="70" spans="2:15" s="397" customFormat="1" ht="20.100000000000001" customHeight="1" x14ac:dyDescent="0.3">
      <c r="B70" s="1938" t="s">
        <v>401</v>
      </c>
      <c r="C70" s="1939"/>
      <c r="D70" s="1939"/>
      <c r="E70" s="1939"/>
      <c r="F70" s="1939"/>
      <c r="G70" s="1939"/>
      <c r="H70" s="1939"/>
      <c r="I70" s="1939"/>
      <c r="J70" s="1939"/>
      <c r="K70" s="1939"/>
      <c r="L70" s="1939"/>
      <c r="M70" s="1939"/>
      <c r="N70" s="1939"/>
      <c r="O70" s="1940"/>
    </row>
    <row r="71" spans="2:15" ht="20.100000000000001" customHeight="1" x14ac:dyDescent="0.3">
      <c r="B71" s="411"/>
      <c r="C71" s="607"/>
      <c r="D71" s="625" t="s">
        <v>184</v>
      </c>
      <c r="E71" s="625"/>
      <c r="F71" s="625" t="s">
        <v>182</v>
      </c>
      <c r="G71" s="625"/>
      <c r="H71" s="625" t="s">
        <v>180</v>
      </c>
      <c r="I71" s="625"/>
      <c r="J71" s="625" t="s">
        <v>178</v>
      </c>
      <c r="K71" s="625"/>
      <c r="L71" s="625" t="s">
        <v>176</v>
      </c>
      <c r="M71" s="625"/>
      <c r="N71" s="625" t="s">
        <v>186</v>
      </c>
      <c r="O71" s="626"/>
    </row>
    <row r="72" spans="2:15" ht="20.100000000000001" customHeight="1" thickBot="1" x14ac:dyDescent="0.35">
      <c r="B72" s="627" t="s">
        <v>7</v>
      </c>
      <c r="C72" s="412" t="s">
        <v>416</v>
      </c>
      <c r="D72" s="573" t="s">
        <v>417</v>
      </c>
      <c r="E72" s="573" t="s">
        <v>418</v>
      </c>
      <c r="F72" s="573" t="s">
        <v>419</v>
      </c>
      <c r="G72" s="573" t="s">
        <v>420</v>
      </c>
      <c r="H72" s="573" t="s">
        <v>421</v>
      </c>
      <c r="I72" s="573" t="s">
        <v>422</v>
      </c>
      <c r="J72" s="573" t="s">
        <v>423</v>
      </c>
      <c r="K72" s="573" t="s">
        <v>424</v>
      </c>
      <c r="L72" s="573" t="s">
        <v>425</v>
      </c>
      <c r="M72" s="573" t="s">
        <v>426</v>
      </c>
      <c r="N72" s="573" t="s">
        <v>427</v>
      </c>
      <c r="O72" s="628" t="s">
        <v>428</v>
      </c>
    </row>
    <row r="73" spans="2:15" ht="20.100000000000001" customHeight="1" thickTop="1" x14ac:dyDescent="0.3">
      <c r="B73" s="629">
        <v>2010</v>
      </c>
      <c r="C73" s="399"/>
      <c r="D73" s="630"/>
      <c r="E73" s="631"/>
      <c r="F73" s="630"/>
      <c r="G73" s="632"/>
      <c r="H73" s="630"/>
      <c r="I73" s="632"/>
      <c r="J73" s="630"/>
      <c r="K73" s="632"/>
      <c r="L73" s="630"/>
      <c r="M73" s="632"/>
      <c r="N73" s="630"/>
      <c r="O73" s="633"/>
    </row>
    <row r="74" spans="2:15" ht="20.100000000000001" customHeight="1" x14ac:dyDescent="0.3">
      <c r="B74" s="634">
        <v>2011</v>
      </c>
      <c r="C74" s="265"/>
      <c r="D74" s="630"/>
      <c r="E74" s="267"/>
      <c r="F74" s="630"/>
      <c r="G74" s="635"/>
      <c r="H74" s="630"/>
      <c r="I74" s="635"/>
      <c r="J74" s="630"/>
      <c r="K74" s="635"/>
      <c r="L74" s="630"/>
      <c r="M74" s="635"/>
      <c r="N74" s="630"/>
      <c r="O74" s="636"/>
    </row>
    <row r="75" spans="2:15" ht="20.100000000000001" customHeight="1" x14ac:dyDescent="0.3">
      <c r="B75" s="634">
        <v>2012</v>
      </c>
      <c r="C75" s="265"/>
      <c r="D75" s="630"/>
      <c r="E75" s="267"/>
      <c r="F75" s="630"/>
      <c r="G75" s="635"/>
      <c r="H75" s="630"/>
      <c r="I75" s="635"/>
      <c r="J75" s="630"/>
      <c r="K75" s="635"/>
      <c r="L75" s="630"/>
      <c r="M75" s="635"/>
      <c r="N75" s="630"/>
      <c r="O75" s="636"/>
    </row>
    <row r="76" spans="2:15" ht="20.100000000000001" customHeight="1" x14ac:dyDescent="0.3">
      <c r="B76" s="634">
        <v>2013</v>
      </c>
      <c r="C76" s="265"/>
      <c r="D76" s="630"/>
      <c r="E76" s="267"/>
      <c r="F76" s="630"/>
      <c r="G76" s="635"/>
      <c r="H76" s="630"/>
      <c r="I76" s="635"/>
      <c r="J76" s="630"/>
      <c r="K76" s="635"/>
      <c r="L76" s="630"/>
      <c r="M76" s="635"/>
      <c r="N76" s="630"/>
      <c r="O76" s="636"/>
    </row>
    <row r="77" spans="2:15" ht="20.100000000000001" customHeight="1" x14ac:dyDescent="0.3">
      <c r="B77" s="634">
        <v>2014</v>
      </c>
      <c r="C77" s="265"/>
      <c r="D77" s="630"/>
      <c r="E77" s="267"/>
      <c r="F77" s="630"/>
      <c r="G77" s="635"/>
      <c r="H77" s="630"/>
      <c r="I77" s="635"/>
      <c r="J77" s="630"/>
      <c r="K77" s="635"/>
      <c r="L77" s="630"/>
      <c r="M77" s="635"/>
      <c r="N77" s="630"/>
      <c r="O77" s="636"/>
    </row>
    <row r="78" spans="2:15" ht="20.100000000000001" customHeight="1" x14ac:dyDescent="0.3">
      <c r="B78" s="634" t="s">
        <v>211</v>
      </c>
      <c r="C78" s="637"/>
      <c r="D78" s="630"/>
      <c r="E78" s="638"/>
      <c r="F78" s="630"/>
      <c r="G78" s="638"/>
      <c r="H78" s="630"/>
      <c r="I78" s="638"/>
      <c r="J78" s="630"/>
      <c r="K78" s="638"/>
      <c r="L78" s="630"/>
      <c r="M78" s="638"/>
      <c r="N78" s="630"/>
      <c r="O78" s="639"/>
    </row>
    <row r="79" spans="2:15" ht="20.100000000000001" customHeight="1" thickBot="1" x14ac:dyDescent="0.35">
      <c r="B79" s="640" t="s">
        <v>429</v>
      </c>
      <c r="C79" s="641" t="e">
        <f>AVERAGE(C73:C77)</f>
        <v>#DIV/0!</v>
      </c>
      <c r="D79" s="642" t="e">
        <f t="shared" ref="D79:O79" si="11">AVERAGE(D73:D77)</f>
        <v>#DIV/0!</v>
      </c>
      <c r="E79" s="643" t="e">
        <f t="shared" si="11"/>
        <v>#DIV/0!</v>
      </c>
      <c r="F79" s="642" t="e">
        <f t="shared" si="11"/>
        <v>#DIV/0!</v>
      </c>
      <c r="G79" s="643" t="e">
        <f t="shared" si="11"/>
        <v>#DIV/0!</v>
      </c>
      <c r="H79" s="642" t="e">
        <f t="shared" si="11"/>
        <v>#DIV/0!</v>
      </c>
      <c r="I79" s="643" t="e">
        <f t="shared" si="11"/>
        <v>#DIV/0!</v>
      </c>
      <c r="J79" s="642" t="e">
        <f t="shared" si="11"/>
        <v>#DIV/0!</v>
      </c>
      <c r="K79" s="643" t="e">
        <f t="shared" si="11"/>
        <v>#DIV/0!</v>
      </c>
      <c r="L79" s="642" t="e">
        <f t="shared" si="11"/>
        <v>#DIV/0!</v>
      </c>
      <c r="M79" s="643" t="e">
        <f t="shared" si="11"/>
        <v>#DIV/0!</v>
      </c>
      <c r="N79" s="642" t="e">
        <f t="shared" si="11"/>
        <v>#DIV/0!</v>
      </c>
      <c r="O79" s="644" t="e">
        <f t="shared" si="11"/>
        <v>#DIV/0!</v>
      </c>
    </row>
    <row r="80" spans="2:15" ht="20.100000000000001" customHeight="1" x14ac:dyDescent="0.3">
      <c r="B80" s="603" t="s">
        <v>286</v>
      </c>
      <c r="C80" s="603"/>
      <c r="D80" s="603"/>
      <c r="E80" s="603"/>
      <c r="F80" s="603"/>
      <c r="G80" s="603"/>
      <c r="H80" s="603"/>
      <c r="I80" s="603"/>
      <c r="J80" s="603"/>
    </row>
    <row r="81" spans="1:23" ht="20.100000000000001" customHeight="1" x14ac:dyDescent="0.3">
      <c r="B81" s="603" t="s">
        <v>430</v>
      </c>
      <c r="C81" s="603"/>
      <c r="D81" s="603"/>
      <c r="E81" s="603"/>
      <c r="F81" s="603"/>
      <c r="G81" s="603"/>
      <c r="H81" s="603"/>
      <c r="I81" s="603"/>
      <c r="J81" s="603"/>
    </row>
    <row r="82" spans="1:23" ht="20.100000000000001" customHeight="1" x14ac:dyDescent="0.3">
      <c r="B82" s="603" t="s">
        <v>431</v>
      </c>
      <c r="C82" s="603"/>
      <c r="D82" s="603"/>
      <c r="E82" s="603"/>
      <c r="F82" s="603"/>
      <c r="G82" s="603"/>
      <c r="H82" s="603"/>
      <c r="I82" s="603"/>
      <c r="J82" s="603"/>
    </row>
    <row r="83" spans="1:23" ht="20.100000000000001" customHeight="1" x14ac:dyDescent="0.3">
      <c r="B83" s="603" t="s">
        <v>432</v>
      </c>
      <c r="C83" s="603"/>
      <c r="D83" s="603"/>
      <c r="E83" s="603"/>
      <c r="F83" s="603"/>
      <c r="G83" s="603"/>
      <c r="H83" s="603"/>
      <c r="I83" s="603"/>
      <c r="J83" s="603"/>
    </row>
    <row r="84" spans="1:23" ht="20.100000000000001" customHeight="1" x14ac:dyDescent="0.3">
      <c r="B84" s="603" t="s">
        <v>433</v>
      </c>
      <c r="C84" s="603"/>
      <c r="D84" s="603"/>
      <c r="E84" s="603"/>
      <c r="F84" s="603"/>
      <c r="G84" s="603"/>
      <c r="H84" s="603"/>
      <c r="I84" s="603"/>
      <c r="J84" s="603"/>
    </row>
    <row r="85" spans="1:23" ht="20.100000000000001" customHeight="1" x14ac:dyDescent="0.3">
      <c r="B85" s="603" t="s">
        <v>434</v>
      </c>
      <c r="C85" s="603"/>
      <c r="D85" s="603"/>
      <c r="E85" s="603"/>
      <c r="F85" s="603"/>
      <c r="G85" s="603"/>
      <c r="H85" s="603"/>
      <c r="I85" s="603"/>
      <c r="J85" s="603"/>
    </row>
    <row r="86" spans="1:23" ht="20.100000000000001" customHeight="1" x14ac:dyDescent="0.3">
      <c r="B86" s="278"/>
      <c r="C86" s="278"/>
      <c r="D86" s="278"/>
      <c r="E86" s="278"/>
      <c r="F86" s="278"/>
      <c r="G86" s="278"/>
    </row>
    <row r="87" spans="1:23" ht="20.100000000000001" customHeight="1" x14ac:dyDescent="0.3">
      <c r="B87" s="278"/>
      <c r="C87" s="1934" t="s">
        <v>435</v>
      </c>
      <c r="D87" s="1935"/>
      <c r="E87" s="1935"/>
      <c r="F87" s="1935"/>
      <c r="G87" s="1935"/>
      <c r="H87" s="1936"/>
    </row>
    <row r="88" spans="1:23" ht="20.100000000000001" customHeight="1" x14ac:dyDescent="0.3">
      <c r="B88" s="278"/>
      <c r="C88" s="625" t="s">
        <v>184</v>
      </c>
      <c r="D88" s="625" t="s">
        <v>182</v>
      </c>
      <c r="E88" s="625" t="s">
        <v>180</v>
      </c>
      <c r="F88" s="625" t="s">
        <v>178</v>
      </c>
      <c r="G88" s="625" t="s">
        <v>436</v>
      </c>
      <c r="H88" s="625" t="s">
        <v>186</v>
      </c>
    </row>
    <row r="89" spans="1:23" ht="20.100000000000001" customHeight="1" x14ac:dyDescent="0.3">
      <c r="B89" s="278"/>
      <c r="C89" s="645" t="s">
        <v>417</v>
      </c>
      <c r="D89" s="645" t="s">
        <v>419</v>
      </c>
      <c r="E89" s="645" t="s">
        <v>421</v>
      </c>
      <c r="F89" s="645" t="s">
        <v>423</v>
      </c>
      <c r="G89" s="645" t="s">
        <v>425</v>
      </c>
      <c r="H89" s="645" t="s">
        <v>427</v>
      </c>
    </row>
    <row r="90" spans="1:23" ht="20.100000000000001" customHeight="1" thickBot="1" x14ac:dyDescent="0.35">
      <c r="B90" s="237" t="s">
        <v>429</v>
      </c>
      <c r="C90" s="642" t="e">
        <f>D79</f>
        <v>#DIV/0!</v>
      </c>
      <c r="D90" s="642" t="e">
        <f>F79</f>
        <v>#DIV/0!</v>
      </c>
      <c r="E90" s="642" t="e">
        <f>H79</f>
        <v>#DIV/0!</v>
      </c>
      <c r="F90" s="642" t="e">
        <f>J79</f>
        <v>#DIV/0!</v>
      </c>
      <c r="G90" s="642" t="e">
        <f>L79</f>
        <v>#DIV/0!</v>
      </c>
      <c r="H90" s="642" t="e">
        <f>N79</f>
        <v>#DIV/0!</v>
      </c>
    </row>
    <row r="91" spans="1:23" ht="20.100000000000001" customHeight="1" x14ac:dyDescent="0.3">
      <c r="B91" s="646" t="s">
        <v>437</v>
      </c>
      <c r="C91" s="647" t="e">
        <f t="shared" ref="C91:H91" si="12">C90/$E$60</f>
        <v>#DIV/0!</v>
      </c>
      <c r="D91" s="647" t="e">
        <f t="shared" si="12"/>
        <v>#DIV/0!</v>
      </c>
      <c r="E91" s="647" t="e">
        <f t="shared" si="12"/>
        <v>#DIV/0!</v>
      </c>
      <c r="F91" s="647" t="e">
        <f t="shared" si="12"/>
        <v>#DIV/0!</v>
      </c>
      <c r="G91" s="647" t="e">
        <f t="shared" si="12"/>
        <v>#DIV/0!</v>
      </c>
      <c r="H91" s="647" t="e">
        <f t="shared" si="12"/>
        <v>#DIV/0!</v>
      </c>
    </row>
    <row r="92" spans="1:23" ht="20.100000000000001" customHeight="1" thickBot="1" x14ac:dyDescent="0.35">
      <c r="B92" s="648" t="s">
        <v>400</v>
      </c>
      <c r="C92" s="649">
        <f>G50</f>
        <v>9600000</v>
      </c>
      <c r="D92" s="649">
        <f>F50</f>
        <v>459120.288</v>
      </c>
      <c r="E92" s="649">
        <f>E50</f>
        <v>125049.88800000001</v>
      </c>
      <c r="F92" s="649">
        <f>D50</f>
        <v>63854.495999999999</v>
      </c>
      <c r="G92" s="649">
        <f>4198</f>
        <v>4198</v>
      </c>
      <c r="H92" s="650">
        <f>I50</f>
        <v>132245.28</v>
      </c>
    </row>
    <row r="93" spans="1:23" ht="20.100000000000001" customHeight="1" x14ac:dyDescent="0.3">
      <c r="B93" s="278"/>
      <c r="C93" s="278"/>
      <c r="D93" s="278"/>
      <c r="E93" s="278"/>
      <c r="F93" s="278"/>
      <c r="G93" s="278"/>
      <c r="N93" s="407"/>
      <c r="O93" s="651"/>
      <c r="P93" s="651"/>
      <c r="Q93" s="651"/>
      <c r="R93" s="651"/>
      <c r="S93" s="651"/>
      <c r="T93" s="651"/>
      <c r="U93" s="651"/>
      <c r="V93" s="651"/>
      <c r="W93" s="651"/>
    </row>
    <row r="94" spans="1:23" ht="20.100000000000001" customHeight="1" x14ac:dyDescent="0.3">
      <c r="A94" s="1937" t="s">
        <v>438</v>
      </c>
      <c r="B94" s="1937"/>
      <c r="C94" s="1937"/>
      <c r="D94" s="1937"/>
      <c r="E94" s="1937"/>
      <c r="F94" s="1937"/>
      <c r="G94" s="1937"/>
      <c r="H94" s="1937"/>
      <c r="I94" s="1937"/>
      <c r="J94" s="1937"/>
      <c r="N94" s="407"/>
      <c r="O94" s="651"/>
      <c r="P94" s="651"/>
      <c r="Q94" s="651"/>
      <c r="R94" s="651"/>
      <c r="S94" s="651"/>
      <c r="T94" s="651"/>
      <c r="U94" s="651"/>
      <c r="V94" s="651"/>
      <c r="W94" s="651"/>
    </row>
    <row r="95" spans="1:23" ht="20.100000000000001" customHeight="1" x14ac:dyDescent="0.3">
      <c r="B95" s="278"/>
      <c r="C95" s="278"/>
      <c r="D95" s="278"/>
      <c r="E95" s="278"/>
      <c r="F95" s="278"/>
      <c r="G95" s="278"/>
      <c r="K95" s="603"/>
    </row>
    <row r="96" spans="1:23" ht="20.100000000000001" customHeight="1" x14ac:dyDescent="0.3">
      <c r="B96" s="1925" t="s">
        <v>591</v>
      </c>
      <c r="C96" s="1932"/>
      <c r="D96" s="1932"/>
      <c r="E96" s="1932"/>
      <c r="F96" s="1932"/>
      <c r="G96" s="1932"/>
      <c r="H96" s="1933"/>
      <c r="I96" s="257"/>
      <c r="K96" s="235"/>
      <c r="L96" s="652"/>
      <c r="M96" s="652"/>
      <c r="N96" s="652"/>
      <c r="O96" s="605"/>
      <c r="P96" s="605"/>
      <c r="Q96" s="605"/>
      <c r="R96" s="605"/>
      <c r="S96" s="605"/>
      <c r="T96" s="605"/>
      <c r="U96" s="397"/>
      <c r="V96" s="397"/>
      <c r="W96" s="397"/>
    </row>
    <row r="97" spans="2:23" ht="20.100000000000001" customHeight="1" x14ac:dyDescent="0.3">
      <c r="B97" s="572" t="s">
        <v>7</v>
      </c>
      <c r="C97" s="572" t="s">
        <v>417</v>
      </c>
      <c r="D97" s="572" t="s">
        <v>419</v>
      </c>
      <c r="E97" s="572" t="s">
        <v>421</v>
      </c>
      <c r="F97" s="572" t="s">
        <v>423</v>
      </c>
      <c r="G97" s="572" t="s">
        <v>425</v>
      </c>
      <c r="H97" s="572" t="s">
        <v>427</v>
      </c>
      <c r="I97" s="276"/>
      <c r="K97" s="653"/>
      <c r="L97" s="654"/>
      <c r="M97" s="655"/>
      <c r="N97" s="655"/>
      <c r="O97" s="655"/>
      <c r="P97" s="655"/>
      <c r="Q97" s="655"/>
      <c r="R97" s="655"/>
      <c r="S97" s="654"/>
      <c r="T97" s="654"/>
      <c r="U97" s="397"/>
      <c r="V97" s="397"/>
      <c r="W97" s="397"/>
    </row>
    <row r="98" spans="2:23" ht="20.100000000000001" customHeight="1" x14ac:dyDescent="0.3">
      <c r="B98" s="608">
        <v>2011</v>
      </c>
      <c r="C98" s="722">
        <v>1</v>
      </c>
      <c r="D98" s="722">
        <v>1</v>
      </c>
      <c r="E98" s="722">
        <v>1</v>
      </c>
      <c r="F98" s="722">
        <v>1</v>
      </c>
      <c r="G98" s="722">
        <v>1</v>
      </c>
      <c r="H98" s="722">
        <v>1</v>
      </c>
      <c r="I98" s="657"/>
      <c r="K98" s="653"/>
      <c r="L98" s="654"/>
      <c r="M98" s="655"/>
      <c r="N98" s="655"/>
      <c r="O98" s="655"/>
      <c r="P98" s="655"/>
      <c r="Q98" s="655"/>
      <c r="R98" s="655"/>
      <c r="S98" s="655"/>
      <c r="T98" s="658"/>
      <c r="U98" s="397"/>
      <c r="V98" s="397"/>
      <c r="W98" s="397"/>
    </row>
    <row r="99" spans="2:23" ht="20.100000000000001" customHeight="1" x14ac:dyDescent="0.3">
      <c r="B99" s="608">
        <v>2012</v>
      </c>
      <c r="C99" s="722">
        <v>1</v>
      </c>
      <c r="D99" s="722">
        <v>1</v>
      </c>
      <c r="E99" s="722">
        <v>1</v>
      </c>
      <c r="F99" s="722">
        <v>1</v>
      </c>
      <c r="G99" s="722">
        <v>1</v>
      </c>
      <c r="H99" s="722">
        <v>1</v>
      </c>
      <c r="I99" s="657"/>
      <c r="K99" s="653"/>
      <c r="L99" s="654"/>
      <c r="M99" s="655"/>
      <c r="N99" s="655"/>
      <c r="O99" s="655"/>
      <c r="P99" s="655"/>
      <c r="Q99" s="655"/>
      <c r="R99" s="655"/>
      <c r="S99" s="659"/>
      <c r="T99" s="658"/>
      <c r="U99" s="397"/>
      <c r="V99" s="397"/>
      <c r="W99" s="397"/>
    </row>
    <row r="100" spans="2:23" ht="20.100000000000001" customHeight="1" x14ac:dyDescent="0.3">
      <c r="B100" s="608">
        <v>2013</v>
      </c>
      <c r="C100" s="722">
        <v>1</v>
      </c>
      <c r="D100" s="722">
        <v>1</v>
      </c>
      <c r="E100" s="722">
        <v>1</v>
      </c>
      <c r="F100" s="722">
        <v>1</v>
      </c>
      <c r="G100" s="722">
        <v>1</v>
      </c>
      <c r="H100" s="722">
        <v>1</v>
      </c>
      <c r="I100" s="657"/>
      <c r="K100" s="653"/>
      <c r="L100" s="654"/>
      <c r="M100" s="655"/>
      <c r="N100" s="655"/>
      <c r="O100" s="655"/>
      <c r="P100" s="655"/>
      <c r="Q100" s="655"/>
      <c r="R100" s="659"/>
      <c r="S100" s="659"/>
      <c r="T100" s="658"/>
      <c r="U100" s="397"/>
      <c r="V100" s="397"/>
      <c r="W100" s="397"/>
    </row>
    <row r="101" spans="2:23" ht="20.100000000000001" customHeight="1" x14ac:dyDescent="0.3">
      <c r="B101" s="608">
        <v>2014</v>
      </c>
      <c r="C101" s="722">
        <v>1</v>
      </c>
      <c r="D101" s="722">
        <v>1</v>
      </c>
      <c r="E101" s="722">
        <v>1</v>
      </c>
      <c r="F101" s="722">
        <v>1</v>
      </c>
      <c r="G101" s="722">
        <v>1</v>
      </c>
      <c r="H101" s="722">
        <v>1</v>
      </c>
      <c r="I101" s="657"/>
      <c r="K101" s="653"/>
      <c r="L101" s="654"/>
      <c r="M101" s="659"/>
      <c r="N101" s="659"/>
      <c r="O101" s="659"/>
      <c r="P101" s="659"/>
      <c r="Q101" s="659"/>
      <c r="R101" s="659"/>
      <c r="S101" s="659"/>
      <c r="T101" s="658"/>
      <c r="U101" s="397"/>
      <c r="V101" s="397"/>
      <c r="W101" s="397"/>
    </row>
    <row r="102" spans="2:23" ht="20.100000000000001" customHeight="1" x14ac:dyDescent="0.3">
      <c r="B102" s="608">
        <v>2015</v>
      </c>
      <c r="C102" s="722">
        <v>1</v>
      </c>
      <c r="D102" s="722">
        <v>1</v>
      </c>
      <c r="E102" s="722">
        <v>1</v>
      </c>
      <c r="F102" s="722">
        <v>1</v>
      </c>
      <c r="G102" s="722">
        <v>1</v>
      </c>
      <c r="H102" s="722">
        <v>1</v>
      </c>
      <c r="I102" s="657"/>
      <c r="J102" s="603"/>
      <c r="L102" s="654"/>
      <c r="M102" s="659"/>
      <c r="N102" s="659"/>
      <c r="O102" s="659"/>
      <c r="P102" s="659"/>
      <c r="Q102" s="659"/>
      <c r="R102" s="659"/>
      <c r="S102" s="659"/>
      <c r="T102" s="658"/>
      <c r="U102" s="397"/>
      <c r="V102" s="397"/>
      <c r="W102" s="397"/>
    </row>
    <row r="103" spans="2:23" ht="20.100000000000001" customHeight="1" x14ac:dyDescent="0.3">
      <c r="B103" s="723" t="s">
        <v>501</v>
      </c>
      <c r="C103" s="669">
        <f t="shared" ref="C103:H103" si="13">AVERAGE(C98:C102)</f>
        <v>1</v>
      </c>
      <c r="D103" s="669">
        <f t="shared" si="13"/>
        <v>1</v>
      </c>
      <c r="E103" s="669">
        <f t="shared" si="13"/>
        <v>1</v>
      </c>
      <c r="F103" s="669">
        <f t="shared" si="13"/>
        <v>1</v>
      </c>
      <c r="G103" s="669">
        <f t="shared" si="13"/>
        <v>1</v>
      </c>
      <c r="H103" s="669">
        <f t="shared" si="13"/>
        <v>1</v>
      </c>
      <c r="I103" s="661"/>
      <c r="J103" s="603"/>
      <c r="L103" s="654"/>
      <c r="M103" s="659"/>
      <c r="N103" s="659"/>
      <c r="O103" s="659"/>
      <c r="P103" s="659"/>
      <c r="Q103" s="659"/>
      <c r="R103" s="659"/>
      <c r="S103" s="659"/>
      <c r="T103" s="658"/>
      <c r="U103" s="397"/>
      <c r="V103" s="397"/>
      <c r="W103" s="397"/>
    </row>
    <row r="104" spans="2:23" ht="20.100000000000001" customHeight="1" x14ac:dyDescent="0.3">
      <c r="B104" s="234" t="s">
        <v>509</v>
      </c>
      <c r="C104" s="663"/>
      <c r="D104" s="663"/>
      <c r="E104" s="663"/>
      <c r="F104" s="663"/>
      <c r="G104" s="663"/>
      <c r="H104" s="663"/>
      <c r="I104" s="663"/>
      <c r="L104" s="397"/>
      <c r="M104" s="397"/>
      <c r="N104" s="397"/>
      <c r="O104" s="397"/>
      <c r="P104" s="397"/>
      <c r="Q104" s="397"/>
      <c r="R104" s="397"/>
      <c r="S104" s="397"/>
      <c r="T104" s="397"/>
      <c r="U104" s="397"/>
      <c r="V104" s="397"/>
      <c r="W104" s="397"/>
    </row>
    <row r="105" spans="2:23" ht="20.100000000000001" customHeight="1" x14ac:dyDescent="0.3">
      <c r="B105" s="662"/>
      <c r="C105" s="663"/>
      <c r="D105" s="663"/>
      <c r="E105" s="663"/>
      <c r="F105" s="663"/>
      <c r="G105" s="663"/>
      <c r="H105" s="663"/>
      <c r="I105" s="663"/>
      <c r="L105" s="397"/>
      <c r="M105" s="397"/>
      <c r="N105" s="397"/>
      <c r="O105" s="397"/>
      <c r="P105" s="397"/>
      <c r="Q105" s="397"/>
      <c r="R105" s="397"/>
      <c r="S105" s="397"/>
      <c r="T105" s="397"/>
      <c r="U105" s="397"/>
      <c r="V105" s="397"/>
      <c r="W105" s="397"/>
    </row>
    <row r="106" spans="2:23" ht="20.100000000000001" customHeight="1" x14ac:dyDescent="0.3">
      <c r="B106" s="1934" t="s">
        <v>592</v>
      </c>
      <c r="C106" s="1935"/>
      <c r="D106" s="1935"/>
      <c r="E106" s="1935"/>
      <c r="F106" s="1935"/>
      <c r="G106" s="1935"/>
      <c r="H106" s="1935"/>
      <c r="I106" s="1935"/>
      <c r="J106" s="1936"/>
      <c r="L106" s="397"/>
      <c r="M106" s="397"/>
      <c r="N106" s="397"/>
      <c r="O106" s="397"/>
      <c r="P106" s="397"/>
      <c r="Q106" s="397"/>
      <c r="R106" s="397"/>
      <c r="S106" s="397"/>
      <c r="T106" s="397"/>
      <c r="U106" s="397"/>
      <c r="V106" s="397"/>
      <c r="W106" s="397"/>
    </row>
    <row r="107" spans="2:23" ht="20.100000000000001" customHeight="1" x14ac:dyDescent="0.3">
      <c r="B107" s="664" t="e">
        <f>#REF!</f>
        <v>#REF!</v>
      </c>
      <c r="C107" s="664" t="e">
        <f>#REF!</f>
        <v>#REF!</v>
      </c>
      <c r="D107" s="665" t="s">
        <v>440</v>
      </c>
      <c r="E107" s="389">
        <v>2011</v>
      </c>
      <c r="F107" s="389">
        <v>2012</v>
      </c>
      <c r="G107" s="389">
        <v>2013</v>
      </c>
      <c r="H107" s="389">
        <v>2014</v>
      </c>
      <c r="I107" s="389">
        <v>2015</v>
      </c>
      <c r="J107" s="665" t="s">
        <v>441</v>
      </c>
    </row>
    <row r="108" spans="2:23" ht="20.100000000000001" customHeight="1" x14ac:dyDescent="0.3">
      <c r="B108" s="666" t="e">
        <f>#REF!</f>
        <v>#REF!</v>
      </c>
      <c r="C108" s="666" t="e">
        <f>#REF!</f>
        <v>#REF!</v>
      </c>
      <c r="D108" s="263" t="e">
        <f>(C108/B108)^(1/($C$107-$B$107))-1</f>
        <v>#REF!</v>
      </c>
      <c r="E108" s="667" t="e">
        <f>$B$108/($D$108+1)^($B$107-E107)</f>
        <v>#REF!</v>
      </c>
      <c r="F108" s="667" t="e">
        <f>$B$108/($D$108+1)^($B$107-F107)</f>
        <v>#REF!</v>
      </c>
      <c r="G108" s="667" t="e">
        <f>$B$108/($D$108+1)^($B$107-G107)</f>
        <v>#REF!</v>
      </c>
      <c r="H108" s="667" t="e">
        <f>$B$108/($D$108+1)^($B$107-H107)</f>
        <v>#REF!</v>
      </c>
      <c r="I108" s="667" t="e">
        <f>$B$108/($D$108+1)^($B$107-I107)</f>
        <v>#REF!</v>
      </c>
      <c r="J108" s="668" t="e">
        <f>AVERAGE(E108:I108)</f>
        <v>#REF!</v>
      </c>
    </row>
    <row r="109" spans="2:23" ht="20.100000000000001" customHeight="1" x14ac:dyDescent="0.3">
      <c r="B109" s="662"/>
      <c r="C109" s="662"/>
      <c r="D109" s="662"/>
      <c r="E109" s="662"/>
      <c r="F109" s="662"/>
      <c r="G109" s="662"/>
      <c r="H109" s="662"/>
    </row>
    <row r="110" spans="2:23" ht="20.100000000000001" customHeight="1" x14ac:dyDescent="0.3">
      <c r="B110" s="662"/>
      <c r="C110" s="1934" t="s">
        <v>442</v>
      </c>
      <c r="D110" s="1935"/>
      <c r="E110" s="1935"/>
      <c r="F110" s="1935"/>
      <c r="G110" s="1935"/>
      <c r="H110" s="1936"/>
      <c r="I110" s="199"/>
      <c r="J110" s="199"/>
    </row>
    <row r="111" spans="2:23" ht="20.100000000000001" customHeight="1" x14ac:dyDescent="0.3">
      <c r="B111" s="276"/>
      <c r="C111" s="572" t="s">
        <v>417</v>
      </c>
      <c r="D111" s="572" t="s">
        <v>443</v>
      </c>
      <c r="E111" s="572" t="s">
        <v>421</v>
      </c>
      <c r="F111" s="572" t="s">
        <v>423</v>
      </c>
      <c r="G111" s="572" t="s">
        <v>425</v>
      </c>
      <c r="H111" s="572" t="s">
        <v>427</v>
      </c>
      <c r="I111" s="276"/>
      <c r="J111" s="199"/>
    </row>
    <row r="112" spans="2:23" s="397" customFormat="1" ht="20.100000000000001" customHeight="1" x14ac:dyDescent="0.3">
      <c r="B112" s="280" t="s">
        <v>444</v>
      </c>
      <c r="C112" s="669">
        <f t="shared" ref="C112:H112" si="14">C103</f>
        <v>1</v>
      </c>
      <c r="D112" s="669">
        <f t="shared" si="14"/>
        <v>1</v>
      </c>
      <c r="E112" s="669">
        <f t="shared" si="14"/>
        <v>1</v>
      </c>
      <c r="F112" s="669">
        <f t="shared" si="14"/>
        <v>1</v>
      </c>
      <c r="G112" s="669">
        <f t="shared" si="14"/>
        <v>1</v>
      </c>
      <c r="H112" s="669">
        <f t="shared" si="14"/>
        <v>1</v>
      </c>
      <c r="I112" s="670"/>
      <c r="J112" s="670"/>
      <c r="K112" s="671"/>
      <c r="L112" s="671"/>
      <c r="M112" s="671"/>
      <c r="N112" s="671"/>
      <c r="O112" s="671"/>
    </row>
    <row r="113" spans="1:11" s="397" customFormat="1" ht="20.100000000000001" customHeight="1" x14ac:dyDescent="0.3">
      <c r="B113" s="262" t="s">
        <v>445</v>
      </c>
      <c r="C113" s="672" t="e">
        <f t="shared" ref="C113:H113" si="15">(C112/$J$108)*100000000</f>
        <v>#REF!</v>
      </c>
      <c r="D113" s="672" t="e">
        <f t="shared" si="15"/>
        <v>#REF!</v>
      </c>
      <c r="E113" s="672" t="e">
        <f t="shared" si="15"/>
        <v>#REF!</v>
      </c>
      <c r="F113" s="672" t="e">
        <f t="shared" si="15"/>
        <v>#REF!</v>
      </c>
      <c r="G113" s="672" t="e">
        <f t="shared" si="15"/>
        <v>#REF!</v>
      </c>
      <c r="H113" s="672" t="e">
        <f t="shared" si="15"/>
        <v>#REF!</v>
      </c>
    </row>
    <row r="114" spans="1:11" ht="20.100000000000001" customHeight="1" x14ac:dyDescent="0.3">
      <c r="A114" s="254"/>
      <c r="B114" s="254"/>
      <c r="C114" s="254"/>
      <c r="D114" s="254"/>
      <c r="E114" s="254"/>
      <c r="F114" s="254"/>
      <c r="G114" s="254"/>
      <c r="H114" s="254"/>
      <c r="I114" s="254"/>
      <c r="J114" s="254"/>
      <c r="K114" s="388"/>
    </row>
    <row r="115" spans="1:11" ht="20.100000000000001" customHeight="1" x14ac:dyDescent="0.3">
      <c r="A115" s="1937" t="s">
        <v>446</v>
      </c>
      <c r="B115" s="1937"/>
      <c r="C115" s="1937"/>
      <c r="D115" s="1937"/>
      <c r="E115" s="1937"/>
      <c r="F115" s="1937"/>
      <c r="G115" s="1937"/>
      <c r="H115" s="1937"/>
      <c r="I115" s="1937"/>
      <c r="J115" s="1937"/>
    </row>
    <row r="116" spans="1:11" ht="20.100000000000001" customHeight="1" x14ac:dyDescent="0.3">
      <c r="B116" s="278"/>
      <c r="C116" s="278"/>
      <c r="D116" s="278"/>
      <c r="E116" s="278"/>
      <c r="F116" s="278"/>
      <c r="G116" s="278"/>
    </row>
    <row r="117" spans="1:11" ht="20.100000000000001" customHeight="1" x14ac:dyDescent="0.3">
      <c r="B117" s="1925" t="s">
        <v>439</v>
      </c>
      <c r="C117" s="1932"/>
      <c r="D117" s="1932"/>
      <c r="E117" s="1932"/>
      <c r="F117" s="1932"/>
      <c r="G117" s="1932"/>
      <c r="H117" s="1933"/>
      <c r="I117" s="257"/>
    </row>
    <row r="118" spans="1:11" ht="20.100000000000001" customHeight="1" x14ac:dyDescent="0.3">
      <c r="B118" s="572" t="s">
        <v>7</v>
      </c>
      <c r="C118" s="572" t="s">
        <v>417</v>
      </c>
      <c r="D118" s="572" t="s">
        <v>419</v>
      </c>
      <c r="E118" s="572" t="s">
        <v>421</v>
      </c>
      <c r="F118" s="572" t="s">
        <v>423</v>
      </c>
      <c r="G118" s="572" t="s">
        <v>425</v>
      </c>
      <c r="H118" s="572" t="s">
        <v>427</v>
      </c>
      <c r="I118" s="276"/>
    </row>
    <row r="119" spans="1:11" ht="20.100000000000001" customHeight="1" x14ac:dyDescent="0.3">
      <c r="B119" s="608">
        <v>2011</v>
      </c>
      <c r="C119" s="656">
        <v>0</v>
      </c>
      <c r="D119" s="656">
        <v>2</v>
      </c>
      <c r="E119" s="656">
        <v>9</v>
      </c>
      <c r="F119" s="656">
        <v>5</v>
      </c>
      <c r="G119" s="656">
        <v>24</v>
      </c>
      <c r="H119" s="656">
        <v>0</v>
      </c>
      <c r="I119" s="657"/>
    </row>
    <row r="120" spans="1:11" s="397" customFormat="1" ht="20.100000000000001" customHeight="1" x14ac:dyDescent="0.3">
      <c r="A120" s="234"/>
      <c r="B120" s="608">
        <v>2012</v>
      </c>
      <c r="C120" s="656">
        <v>0</v>
      </c>
      <c r="D120" s="656">
        <v>9</v>
      </c>
      <c r="E120" s="656">
        <v>9</v>
      </c>
      <c r="F120" s="656">
        <v>22</v>
      </c>
      <c r="G120" s="656">
        <v>56</v>
      </c>
      <c r="H120" s="656">
        <v>0</v>
      </c>
      <c r="I120" s="657"/>
      <c r="J120" s="234"/>
    </row>
    <row r="121" spans="1:11" s="397" customFormat="1" ht="20.100000000000001" customHeight="1" x14ac:dyDescent="0.3">
      <c r="A121" s="234"/>
      <c r="B121" s="608">
        <v>2013</v>
      </c>
      <c r="C121" s="656">
        <v>1</v>
      </c>
      <c r="D121" s="656">
        <v>6</v>
      </c>
      <c r="E121" s="656">
        <v>19</v>
      </c>
      <c r="F121" s="656">
        <v>11</v>
      </c>
      <c r="G121" s="656">
        <v>47</v>
      </c>
      <c r="H121" s="656">
        <v>1</v>
      </c>
      <c r="I121" s="657"/>
      <c r="J121" s="234"/>
    </row>
    <row r="122" spans="1:11" s="397" customFormat="1" ht="20.100000000000001" customHeight="1" x14ac:dyDescent="0.3">
      <c r="A122" s="234"/>
      <c r="B122" s="608">
        <v>2014</v>
      </c>
      <c r="C122" s="656">
        <v>0</v>
      </c>
      <c r="D122" s="656">
        <v>5</v>
      </c>
      <c r="E122" s="656">
        <v>15</v>
      </c>
      <c r="F122" s="656">
        <v>11</v>
      </c>
      <c r="G122" s="656">
        <v>50</v>
      </c>
      <c r="H122" s="656">
        <v>2</v>
      </c>
      <c r="I122" s="657"/>
      <c r="J122" s="234"/>
    </row>
    <row r="123" spans="1:11" s="397" customFormat="1" ht="20.100000000000001" customHeight="1" x14ac:dyDescent="0.3">
      <c r="A123" s="234"/>
      <c r="B123" s="608">
        <v>2015</v>
      </c>
      <c r="C123" s="656">
        <v>1</v>
      </c>
      <c r="D123" s="656">
        <v>6</v>
      </c>
      <c r="E123" s="656">
        <v>11</v>
      </c>
      <c r="F123" s="656">
        <v>21</v>
      </c>
      <c r="G123" s="656">
        <v>121</v>
      </c>
      <c r="H123" s="656">
        <v>4</v>
      </c>
      <c r="I123" s="657"/>
      <c r="J123" s="603"/>
    </row>
    <row r="124" spans="1:11" s="397" customFormat="1" ht="20.100000000000001" customHeight="1" x14ac:dyDescent="0.3">
      <c r="A124" s="234"/>
      <c r="B124" s="723" t="s">
        <v>501</v>
      </c>
      <c r="C124" s="660">
        <f t="shared" ref="C124:H124" si="16">AVERAGE(C119:C123)</f>
        <v>0.4</v>
      </c>
      <c r="D124" s="660">
        <f t="shared" si="16"/>
        <v>5.6</v>
      </c>
      <c r="E124" s="660">
        <f t="shared" si="16"/>
        <v>12.6</v>
      </c>
      <c r="F124" s="660">
        <f t="shared" si="16"/>
        <v>14</v>
      </c>
      <c r="G124" s="660">
        <f t="shared" si="16"/>
        <v>59.6</v>
      </c>
      <c r="H124" s="660">
        <f t="shared" si="16"/>
        <v>1.4</v>
      </c>
      <c r="I124" s="661"/>
      <c r="J124" s="603"/>
    </row>
    <row r="125" spans="1:11" s="397" customFormat="1" ht="20.100000000000001" customHeight="1" x14ac:dyDescent="0.3">
      <c r="A125" s="234"/>
      <c r="B125" s="662"/>
      <c r="C125" s="663"/>
      <c r="D125" s="663"/>
      <c r="E125" s="663"/>
      <c r="F125" s="663"/>
      <c r="G125" s="663"/>
      <c r="H125" s="663"/>
      <c r="I125" s="663"/>
      <c r="J125" s="234"/>
    </row>
    <row r="126" spans="1:11" s="397" customFormat="1" ht="20.100000000000001" customHeight="1" x14ac:dyDescent="0.3">
      <c r="A126" s="234"/>
      <c r="B126" s="1934" t="s">
        <v>593</v>
      </c>
      <c r="C126" s="1935"/>
      <c r="D126" s="1935"/>
      <c r="E126" s="1935"/>
      <c r="F126" s="1935"/>
      <c r="G126" s="1935"/>
      <c r="H126" s="1935"/>
      <c r="I126" s="1935"/>
      <c r="J126" s="1936"/>
    </row>
    <row r="127" spans="1:11" s="397" customFormat="1" ht="20.100000000000001" customHeight="1" x14ac:dyDescent="0.3">
      <c r="A127" s="234"/>
      <c r="B127" s="664" t="e">
        <f>#REF!</f>
        <v>#REF!</v>
      </c>
      <c r="C127" s="664" t="e">
        <f>#REF!</f>
        <v>#REF!</v>
      </c>
      <c r="D127" s="665" t="s">
        <v>440</v>
      </c>
      <c r="E127" s="389">
        <v>2011</v>
      </c>
      <c r="F127" s="389">
        <v>2012</v>
      </c>
      <c r="G127" s="389">
        <v>2013</v>
      </c>
      <c r="H127" s="389">
        <v>2014</v>
      </c>
      <c r="I127" s="389">
        <v>2015</v>
      </c>
      <c r="J127" s="665" t="s">
        <v>441</v>
      </c>
    </row>
    <row r="128" spans="1:11" s="397" customFormat="1" ht="20.100000000000001" customHeight="1" x14ac:dyDescent="0.3">
      <c r="A128" s="234"/>
      <c r="B128" s="666" t="e">
        <f>#REF!</f>
        <v>#REF!</v>
      </c>
      <c r="C128" s="666" t="e">
        <f>#REF!</f>
        <v>#REF!</v>
      </c>
      <c r="D128" s="263" t="e">
        <f>(C128/B128)^(1/($C$127-$B$127))-1</f>
        <v>#REF!</v>
      </c>
      <c r="E128" s="667" t="e">
        <f>ROUND(E108/$B108*$B128,0)</f>
        <v>#REF!</v>
      </c>
      <c r="F128" s="667" t="e">
        <f>ROUND(F108/$B108*$B128,0)</f>
        <v>#REF!</v>
      </c>
      <c r="G128" s="667" t="e">
        <f>ROUND(G108/$B108*$B128,0)</f>
        <v>#REF!</v>
      </c>
      <c r="H128" s="667" t="e">
        <f>ROUND(H108/$B108*$B128,0)</f>
        <v>#REF!</v>
      </c>
      <c r="I128" s="667" t="e">
        <f>ROUND(I108/$B108*$B128,0)</f>
        <v>#REF!</v>
      </c>
      <c r="J128" s="668" t="e">
        <f>AVERAGE(E128:I128)</f>
        <v>#REF!</v>
      </c>
    </row>
    <row r="129" spans="1:11" s="397" customFormat="1" ht="20.100000000000001" customHeight="1" x14ac:dyDescent="0.3">
      <c r="A129" s="234"/>
      <c r="B129" s="662"/>
      <c r="C129" s="662"/>
      <c r="D129" s="662"/>
      <c r="E129" s="662"/>
      <c r="F129" s="662"/>
      <c r="G129" s="662"/>
      <c r="H129" s="662"/>
      <c r="I129" s="234"/>
      <c r="J129" s="234"/>
      <c r="K129" s="199"/>
    </row>
    <row r="130" spans="1:11" ht="20.100000000000001" customHeight="1" x14ac:dyDescent="0.3">
      <c r="B130" s="662"/>
      <c r="C130" s="1934" t="s">
        <v>442</v>
      </c>
      <c r="D130" s="1935"/>
      <c r="E130" s="1935"/>
      <c r="F130" s="1935"/>
      <c r="G130" s="1935"/>
      <c r="H130" s="1936"/>
      <c r="I130" s="199"/>
      <c r="J130" s="199"/>
    </row>
    <row r="131" spans="1:11" ht="20.100000000000001" customHeight="1" x14ac:dyDescent="0.3">
      <c r="B131" s="276"/>
      <c r="C131" s="572" t="s">
        <v>417</v>
      </c>
      <c r="D131" s="572" t="s">
        <v>443</v>
      </c>
      <c r="E131" s="572" t="s">
        <v>421</v>
      </c>
      <c r="F131" s="572" t="s">
        <v>423</v>
      </c>
      <c r="G131" s="572" t="s">
        <v>425</v>
      </c>
      <c r="H131" s="572" t="s">
        <v>427</v>
      </c>
      <c r="I131" s="276"/>
      <c r="J131" s="199"/>
    </row>
    <row r="132" spans="1:11" ht="20.100000000000001" customHeight="1" x14ac:dyDescent="0.3">
      <c r="A132" s="397"/>
      <c r="B132" s="280" t="s">
        <v>444</v>
      </c>
      <c r="C132" s="669">
        <f t="shared" ref="C132:H132" si="17">C124</f>
        <v>0.4</v>
      </c>
      <c r="D132" s="669">
        <f t="shared" si="17"/>
        <v>5.6</v>
      </c>
      <c r="E132" s="669">
        <f t="shared" si="17"/>
        <v>12.6</v>
      </c>
      <c r="F132" s="669">
        <f t="shared" si="17"/>
        <v>14</v>
      </c>
      <c r="G132" s="669">
        <f t="shared" si="17"/>
        <v>59.6</v>
      </c>
      <c r="H132" s="669">
        <f t="shared" si="17"/>
        <v>1.4</v>
      </c>
      <c r="I132" s="670"/>
      <c r="J132" s="670"/>
    </row>
    <row r="133" spans="1:11" ht="20.100000000000001" customHeight="1" x14ac:dyDescent="0.3">
      <c r="A133" s="397"/>
      <c r="B133" s="262" t="s">
        <v>445</v>
      </c>
      <c r="C133" s="672" t="e">
        <f t="shared" ref="C133:H133" si="18">(C132/$J$128)*100000000</f>
        <v>#REF!</v>
      </c>
      <c r="D133" s="672" t="e">
        <f t="shared" si="18"/>
        <v>#REF!</v>
      </c>
      <c r="E133" s="672" t="e">
        <f t="shared" si="18"/>
        <v>#REF!</v>
      </c>
      <c r="F133" s="672" t="e">
        <f t="shared" si="18"/>
        <v>#REF!</v>
      </c>
      <c r="G133" s="672" t="e">
        <f t="shared" si="18"/>
        <v>#REF!</v>
      </c>
      <c r="H133" s="672" t="e">
        <f t="shared" si="18"/>
        <v>#REF!</v>
      </c>
      <c r="I133" s="397"/>
      <c r="J133" s="397"/>
    </row>
  </sheetData>
  <mergeCells count="29">
    <mergeCell ref="B65:F65"/>
    <mergeCell ref="B67:F67"/>
    <mergeCell ref="G5:J6"/>
    <mergeCell ref="A1:D1"/>
    <mergeCell ref="B3:E3"/>
    <mergeCell ref="G3:J3"/>
    <mergeCell ref="B4:E4"/>
    <mergeCell ref="G4:J4"/>
    <mergeCell ref="G7:J13"/>
    <mergeCell ref="B16:C16"/>
    <mergeCell ref="D16:E16"/>
    <mergeCell ref="B17:C17"/>
    <mergeCell ref="D17:E17"/>
    <mergeCell ref="L28:S28"/>
    <mergeCell ref="L36:S36"/>
    <mergeCell ref="B117:H117"/>
    <mergeCell ref="B126:J126"/>
    <mergeCell ref="C130:H130"/>
    <mergeCell ref="C87:H87"/>
    <mergeCell ref="A94:J94"/>
    <mergeCell ref="B96:H96"/>
    <mergeCell ref="B106:J106"/>
    <mergeCell ref="C110:H110"/>
    <mergeCell ref="A115:J115"/>
    <mergeCell ref="B70:O70"/>
    <mergeCell ref="B28:B29"/>
    <mergeCell ref="B52:F52"/>
    <mergeCell ref="B59:D59"/>
    <mergeCell ref="B60:D60"/>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B1:N22"/>
  <sheetViews>
    <sheetView workbookViewId="0"/>
  </sheetViews>
  <sheetFormatPr defaultColWidth="9.109375" defaultRowHeight="13.8" x14ac:dyDescent="0.3"/>
  <cols>
    <col min="1" max="1" width="3.109375" style="297" customWidth="1"/>
    <col min="2" max="2" width="35.44140625" style="297" customWidth="1"/>
    <col min="3" max="3" width="14.109375" style="297" customWidth="1"/>
    <col min="4" max="4" width="11.6640625" style="297" customWidth="1"/>
    <col min="5" max="5" width="10" style="298" customWidth="1"/>
    <col min="6" max="6" width="13.6640625" style="297" customWidth="1"/>
    <col min="7" max="7" width="11.44140625" style="297" customWidth="1"/>
    <col min="8" max="9" width="8.6640625" style="297" customWidth="1"/>
    <col min="10" max="11" width="8.6640625" style="298" customWidth="1"/>
    <col min="12" max="12" width="9.6640625" style="298" bestFit="1" customWidth="1"/>
    <col min="13" max="13" width="13.88671875" style="342" customWidth="1"/>
    <col min="14" max="14" width="9.109375" style="342"/>
    <col min="15" max="16384" width="9.109375" style="297"/>
  </cols>
  <sheetData>
    <row r="1" spans="2:12" ht="13.5" customHeight="1" x14ac:dyDescent="0.25">
      <c r="B1" s="1967" t="s">
        <v>656</v>
      </c>
      <c r="C1" s="1967"/>
      <c r="D1" s="1967"/>
      <c r="E1" s="1967"/>
      <c r="F1" s="1967"/>
      <c r="G1" s="1967"/>
      <c r="H1" s="1967"/>
      <c r="I1" s="1967"/>
    </row>
    <row r="2" spans="2:12" ht="12.75" x14ac:dyDescent="0.25">
      <c r="B2" s="272" t="s">
        <v>356</v>
      </c>
    </row>
    <row r="3" spans="2:12" ht="33.75" customHeight="1" x14ac:dyDescent="0.25">
      <c r="B3" s="581" t="s">
        <v>251</v>
      </c>
      <c r="C3" s="582" t="s">
        <v>349</v>
      </c>
      <c r="D3" s="286"/>
      <c r="E3" s="293"/>
      <c r="J3" s="288"/>
      <c r="K3" s="288"/>
      <c r="L3" s="288"/>
    </row>
    <row r="4" spans="2:12" ht="15" customHeight="1" x14ac:dyDescent="0.25">
      <c r="B4" s="287" t="s">
        <v>252</v>
      </c>
      <c r="C4" s="291">
        <v>0</v>
      </c>
      <c r="D4" s="583"/>
      <c r="L4" s="299"/>
    </row>
    <row r="5" spans="2:12" ht="15" customHeight="1" x14ac:dyDescent="0.25">
      <c r="B5" s="290" t="s">
        <v>253</v>
      </c>
      <c r="C5" s="292">
        <v>0.1</v>
      </c>
      <c r="D5" s="584"/>
      <c r="L5" s="299"/>
    </row>
    <row r="6" spans="2:12" ht="15" customHeight="1" x14ac:dyDescent="0.25">
      <c r="B6" s="287" t="s">
        <v>254</v>
      </c>
      <c r="C6" s="291">
        <v>1</v>
      </c>
      <c r="D6" s="583"/>
      <c r="L6" s="299"/>
    </row>
    <row r="7" spans="2:12" ht="15" customHeight="1" x14ac:dyDescent="0.25">
      <c r="B7" s="290" t="s">
        <v>255</v>
      </c>
      <c r="C7" s="292">
        <v>3.1</v>
      </c>
      <c r="D7" s="584"/>
    </row>
    <row r="8" spans="2:12" ht="15" customHeight="1" x14ac:dyDescent="0.25">
      <c r="B8" s="287" t="s">
        <v>256</v>
      </c>
      <c r="C8" s="291">
        <v>5.6</v>
      </c>
      <c r="D8" s="583"/>
    </row>
    <row r="9" spans="2:12" ht="15" customHeight="1" x14ac:dyDescent="0.25">
      <c r="B9" s="290" t="s">
        <v>257</v>
      </c>
      <c r="C9" s="292">
        <v>18.100000000000001</v>
      </c>
      <c r="D9" s="584"/>
    </row>
    <row r="10" spans="2:12" ht="15" customHeight="1" x14ac:dyDescent="0.25">
      <c r="B10" s="287" t="s">
        <v>258</v>
      </c>
      <c r="C10" s="291">
        <v>3.3</v>
      </c>
      <c r="D10" s="583"/>
      <c r="F10" s="300"/>
      <c r="G10" s="300"/>
      <c r="H10" s="300"/>
      <c r="I10" s="300"/>
    </row>
    <row r="11" spans="2:12" ht="15" customHeight="1" x14ac:dyDescent="0.25">
      <c r="B11" s="290" t="s">
        <v>259</v>
      </c>
      <c r="C11" s="291">
        <v>10.5</v>
      </c>
      <c r="D11" s="584"/>
    </row>
    <row r="12" spans="2:12" ht="15" customHeight="1" x14ac:dyDescent="0.25">
      <c r="B12" s="287" t="s">
        <v>260</v>
      </c>
      <c r="C12" s="291">
        <v>12.7</v>
      </c>
      <c r="D12" s="583"/>
    </row>
    <row r="13" spans="2:12" ht="15" customHeight="1" x14ac:dyDescent="0.25">
      <c r="B13" s="290" t="s">
        <v>261</v>
      </c>
      <c r="C13" s="291">
        <v>40.9</v>
      </c>
      <c r="D13" s="584"/>
    </row>
    <row r="14" spans="2:12" ht="15" customHeight="1" x14ac:dyDescent="0.25">
      <c r="B14" s="1968" t="s">
        <v>353</v>
      </c>
      <c r="C14" s="1968"/>
      <c r="D14" s="1969"/>
      <c r="E14" s="294"/>
      <c r="F14" s="289"/>
      <c r="G14" s="289"/>
      <c r="H14" s="289"/>
    </row>
    <row r="15" spans="2:12" ht="15" x14ac:dyDescent="0.25">
      <c r="B15" s="281" t="s">
        <v>352</v>
      </c>
    </row>
    <row r="17" spans="2:7" ht="12.75" x14ac:dyDescent="0.25">
      <c r="B17" s="272" t="s">
        <v>357</v>
      </c>
    </row>
    <row r="18" spans="2:7" ht="27" customHeight="1" x14ac:dyDescent="0.3">
      <c r="B18" s="1970" t="s">
        <v>346</v>
      </c>
      <c r="C18" s="301" t="s">
        <v>355</v>
      </c>
      <c r="D18" s="1971" t="s">
        <v>350</v>
      </c>
      <c r="E18" s="1973" t="s">
        <v>276</v>
      </c>
      <c r="F18" s="301" t="s">
        <v>355</v>
      </c>
    </row>
    <row r="19" spans="2:7" x14ac:dyDescent="0.3">
      <c r="B19" s="1970"/>
      <c r="C19" s="409" t="s">
        <v>349</v>
      </c>
      <c r="D19" s="1972"/>
      <c r="E19" s="1974"/>
      <c r="F19" s="409" t="s">
        <v>351</v>
      </c>
    </row>
    <row r="20" spans="2:7" ht="12.75" x14ac:dyDescent="0.25">
      <c r="B20" s="579" t="s">
        <v>348</v>
      </c>
      <c r="C20" s="578">
        <f>C5/100</f>
        <v>1E-3</v>
      </c>
      <c r="D20" s="343">
        <f>'CPI Factors'!$C$17</f>
        <v>167.2</v>
      </c>
      <c r="E20" s="343">
        <f>'CPI Factors'!$C$32</f>
        <v>230.14699999999999</v>
      </c>
      <c r="F20" s="580">
        <f>C20*E20/D20</f>
        <v>1.3764772727272727E-3</v>
      </c>
      <c r="G20" s="585"/>
    </row>
    <row r="21" spans="2:7" ht="16.5" customHeight="1" x14ac:dyDescent="0.25">
      <c r="B21" s="579" t="s">
        <v>347</v>
      </c>
      <c r="C21" s="577">
        <f>AVERAGE(C7,C9,C11,C13)/100</f>
        <v>0.18149999999999999</v>
      </c>
      <c r="D21" s="343">
        <f>'CPI Factors'!$C$17</f>
        <v>167.2</v>
      </c>
      <c r="E21" s="343">
        <f>'CPI Factors'!$C$32</f>
        <v>230.14699999999999</v>
      </c>
      <c r="F21" s="576">
        <f>C21*E21/D21</f>
        <v>0.249830625</v>
      </c>
      <c r="G21" s="585"/>
    </row>
    <row r="22" spans="2:7" ht="12.75" x14ac:dyDescent="0.2">
      <c r="B22" s="575" t="s">
        <v>530</v>
      </c>
    </row>
  </sheetData>
  <mergeCells count="5">
    <mergeCell ref="B1:I1"/>
    <mergeCell ref="B14:D14"/>
    <mergeCell ref="B18:B19"/>
    <mergeCell ref="D18:D19"/>
    <mergeCell ref="E18:E19"/>
  </mergeCells>
  <hyperlinks>
    <hyperlink ref="B15" r:id="rId1"/>
  </hyperlinks>
  <pageMargins left="0.7" right="0.7" top="0.75" bottom="0.75" header="0.3" footer="0.3"/>
  <pageSetup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K50"/>
  <sheetViews>
    <sheetView topLeftCell="A35" workbookViewId="0">
      <selection sqref="A1:H1"/>
    </sheetView>
  </sheetViews>
  <sheetFormatPr defaultColWidth="9.109375" defaultRowHeight="14.4" x14ac:dyDescent="0.3"/>
  <cols>
    <col min="1" max="1" width="4.33203125" style="234" customWidth="1"/>
    <col min="2" max="2" width="24.5546875" style="234" customWidth="1"/>
    <col min="3" max="6" width="15.6640625" style="234" customWidth="1"/>
    <col min="7" max="7" width="15.109375" style="234" customWidth="1"/>
    <col min="8" max="8" width="18.33203125" style="234" customWidth="1"/>
    <col min="9" max="9" width="26.109375" style="234" customWidth="1"/>
    <col min="10" max="10" width="23.88671875" style="234" customWidth="1"/>
    <col min="11" max="11" width="23.109375" style="234" customWidth="1"/>
    <col min="12" max="12" width="13.33203125" style="234" customWidth="1"/>
    <col min="13" max="13" width="14.88671875" style="234" customWidth="1"/>
    <col min="14" max="14" width="12" style="234" customWidth="1"/>
    <col min="15" max="15" width="9.109375" style="234"/>
    <col min="16" max="16" width="11.5546875" style="234" customWidth="1"/>
    <col min="17" max="17" width="9.109375" style="234"/>
    <col min="18" max="18" width="31.88671875" style="234" customWidth="1"/>
    <col min="19" max="19" width="13.109375" style="234" customWidth="1"/>
    <col min="20" max="20" width="11.88671875" style="234" customWidth="1"/>
    <col min="21" max="21" width="17" style="234" customWidth="1"/>
    <col min="22" max="22" width="26.6640625" style="234" customWidth="1"/>
    <col min="23" max="23" width="16" style="234" customWidth="1"/>
    <col min="24" max="24" width="16.44140625" style="234" customWidth="1"/>
    <col min="25" max="25" width="9.109375" style="234"/>
    <col min="26" max="26" width="30.44140625" style="234" customWidth="1"/>
    <col min="27" max="27" width="14.88671875" style="234" customWidth="1"/>
    <col min="28" max="28" width="12.44140625" style="234" customWidth="1"/>
    <col min="29" max="29" width="14.6640625" style="234" customWidth="1"/>
    <col min="30" max="31" width="9.109375" style="234"/>
    <col min="32" max="32" width="29.6640625" style="234" customWidth="1"/>
    <col min="33" max="33" width="14.6640625" style="234" customWidth="1"/>
    <col min="34" max="34" width="12.109375" style="234" customWidth="1"/>
    <col min="35" max="35" width="16.5546875" style="234" customWidth="1"/>
    <col min="36" max="16384" width="9.109375" style="234"/>
  </cols>
  <sheetData>
    <row r="1" spans="1:11" ht="18.75" x14ac:dyDescent="0.25">
      <c r="A1" s="1967" t="s">
        <v>508</v>
      </c>
      <c r="B1" s="1967"/>
      <c r="C1" s="1967"/>
      <c r="D1" s="1967"/>
      <c r="E1" s="1967"/>
      <c r="F1" s="1967"/>
      <c r="G1" s="1967"/>
      <c r="H1" s="1967"/>
    </row>
    <row r="2" spans="1:11" ht="15.75" thickBot="1" x14ac:dyDescent="0.3"/>
    <row r="3" spans="1:11" s="235" customFormat="1" ht="15" customHeight="1" x14ac:dyDescent="0.25">
      <c r="B3" s="1977" t="s">
        <v>150</v>
      </c>
      <c r="C3" s="1977"/>
      <c r="D3" s="1977"/>
      <c r="E3" s="1977"/>
      <c r="G3" s="1978" t="s">
        <v>151</v>
      </c>
      <c r="H3" s="1979"/>
      <c r="I3" s="1979"/>
      <c r="J3" s="1979"/>
      <c r="K3" s="1980"/>
    </row>
    <row r="4" spans="1:11" ht="27" customHeight="1" x14ac:dyDescent="0.25">
      <c r="B4" s="1958" t="s">
        <v>152</v>
      </c>
      <c r="C4" s="1958"/>
      <c r="D4" s="1958"/>
      <c r="E4" s="1958"/>
      <c r="G4" s="1981" t="s">
        <v>153</v>
      </c>
      <c r="H4" s="1982"/>
      <c r="I4" s="1982"/>
      <c r="J4" s="1982"/>
      <c r="K4" s="1983"/>
    </row>
    <row r="5" spans="1:11" ht="36" customHeight="1" x14ac:dyDescent="0.3">
      <c r="B5" s="236" t="s">
        <v>154</v>
      </c>
      <c r="C5" s="236" t="s">
        <v>155</v>
      </c>
      <c r="D5" s="236" t="s">
        <v>156</v>
      </c>
      <c r="E5" s="236" t="s">
        <v>157</v>
      </c>
      <c r="F5" s="394"/>
      <c r="G5" s="1950" t="s">
        <v>149</v>
      </c>
      <c r="H5" s="1951"/>
      <c r="I5" s="1951"/>
      <c r="J5" s="1951"/>
      <c r="K5" s="1952"/>
    </row>
    <row r="6" spans="1:11" ht="15" customHeight="1" x14ac:dyDescent="0.3">
      <c r="B6" s="237" t="s">
        <v>196</v>
      </c>
      <c r="C6" s="395" t="s">
        <v>198</v>
      </c>
      <c r="D6" s="239">
        <v>0</v>
      </c>
      <c r="E6" s="240">
        <v>0</v>
      </c>
      <c r="F6" s="396"/>
      <c r="G6" s="1950"/>
      <c r="H6" s="1951"/>
      <c r="I6" s="1951"/>
      <c r="J6" s="1951"/>
      <c r="K6" s="1952"/>
    </row>
    <row r="7" spans="1:11" ht="15" customHeight="1" x14ac:dyDescent="0.3">
      <c r="B7" s="237" t="s">
        <v>158</v>
      </c>
      <c r="C7" s="238" t="s">
        <v>159</v>
      </c>
      <c r="D7" s="239">
        <v>3.0000000000000001E-3</v>
      </c>
      <c r="E7" s="240">
        <v>28800</v>
      </c>
      <c r="F7" s="396"/>
      <c r="G7" s="1950" t="s">
        <v>162</v>
      </c>
      <c r="H7" s="1951"/>
      <c r="I7" s="1951"/>
      <c r="J7" s="1951"/>
      <c r="K7" s="1952"/>
    </row>
    <row r="8" spans="1:11" ht="15" customHeight="1" x14ac:dyDescent="0.3">
      <c r="B8" s="237" t="s">
        <v>160</v>
      </c>
      <c r="C8" s="238" t="s">
        <v>161</v>
      </c>
      <c r="D8" s="239">
        <v>4.7E-2</v>
      </c>
      <c r="E8" s="240">
        <v>451200</v>
      </c>
      <c r="F8" s="396"/>
      <c r="G8" s="1950"/>
      <c r="H8" s="1951"/>
      <c r="I8" s="1951"/>
      <c r="J8" s="1951"/>
      <c r="K8" s="1952"/>
    </row>
    <row r="9" spans="1:11" x14ac:dyDescent="0.3">
      <c r="B9" s="237" t="s">
        <v>163</v>
      </c>
      <c r="C9" s="238" t="s">
        <v>164</v>
      </c>
      <c r="D9" s="239">
        <v>0.105</v>
      </c>
      <c r="E9" s="240">
        <v>1008000</v>
      </c>
      <c r="F9" s="396"/>
      <c r="G9" s="1950"/>
      <c r="H9" s="1951"/>
      <c r="I9" s="1951"/>
      <c r="J9" s="1951"/>
      <c r="K9" s="1952"/>
    </row>
    <row r="10" spans="1:11" x14ac:dyDescent="0.3">
      <c r="B10" s="237" t="s">
        <v>165</v>
      </c>
      <c r="C10" s="238" t="s">
        <v>166</v>
      </c>
      <c r="D10" s="239">
        <v>0.26600000000000001</v>
      </c>
      <c r="E10" s="240">
        <v>2553600</v>
      </c>
      <c r="F10" s="396"/>
      <c r="G10" s="1950"/>
      <c r="H10" s="1951"/>
      <c r="I10" s="1951"/>
      <c r="J10" s="1951"/>
      <c r="K10" s="1952"/>
    </row>
    <row r="11" spans="1:11" ht="15" thickBot="1" x14ac:dyDescent="0.35">
      <c r="B11" s="237" t="s">
        <v>167</v>
      </c>
      <c r="C11" s="238" t="s">
        <v>168</v>
      </c>
      <c r="D11" s="239">
        <v>0.59299999999999997</v>
      </c>
      <c r="E11" s="240">
        <v>5692800</v>
      </c>
      <c r="F11" s="396"/>
      <c r="G11" s="1962"/>
      <c r="H11" s="1963"/>
      <c r="I11" s="1963"/>
      <c r="J11" s="1963"/>
      <c r="K11" s="1964"/>
    </row>
    <row r="12" spans="1:11" ht="15" x14ac:dyDescent="0.25">
      <c r="B12" s="237" t="s">
        <v>169</v>
      </c>
      <c r="C12" s="238" t="s">
        <v>170</v>
      </c>
      <c r="D12" s="239">
        <v>1</v>
      </c>
      <c r="E12" s="240">
        <v>9600000</v>
      </c>
      <c r="F12" s="397"/>
      <c r="G12" s="397"/>
      <c r="H12" s="397"/>
      <c r="I12" s="398"/>
    </row>
    <row r="14" spans="1:11" ht="15" hidden="1" x14ac:dyDescent="0.25"/>
    <row r="15" spans="1:11" ht="15" hidden="1" x14ac:dyDescent="0.25">
      <c r="B15" s="254" t="s">
        <v>171</v>
      </c>
    </row>
    <row r="16" spans="1:11" ht="15" hidden="1" x14ac:dyDescent="0.25">
      <c r="B16" s="1965" t="s">
        <v>172</v>
      </c>
      <c r="C16" s="1966"/>
      <c r="D16" s="1965" t="s">
        <v>173</v>
      </c>
      <c r="E16" s="1966"/>
    </row>
    <row r="17" spans="1:9" ht="30" hidden="1" customHeight="1" x14ac:dyDescent="0.25">
      <c r="B17" s="1965" t="s">
        <v>174</v>
      </c>
      <c r="C17" s="1966"/>
      <c r="D17" s="1965" t="s">
        <v>175</v>
      </c>
      <c r="E17" s="1966"/>
    </row>
    <row r="18" spans="1:9" ht="15" hidden="1" x14ac:dyDescent="0.25">
      <c r="B18" s="392" t="s">
        <v>176</v>
      </c>
      <c r="C18" s="399" t="s">
        <v>177</v>
      </c>
      <c r="D18" s="400">
        <v>0</v>
      </c>
      <c r="E18" s="400" t="s">
        <v>177</v>
      </c>
    </row>
    <row r="19" spans="1:9" ht="15" hidden="1" x14ac:dyDescent="0.25">
      <c r="B19" s="391" t="s">
        <v>178</v>
      </c>
      <c r="C19" s="265" t="s">
        <v>179</v>
      </c>
      <c r="D19" s="393">
        <v>1</v>
      </c>
      <c r="E19" s="238" t="s">
        <v>159</v>
      </c>
    </row>
    <row r="20" spans="1:9" ht="15" hidden="1" x14ac:dyDescent="0.25">
      <c r="B20" s="391" t="s">
        <v>180</v>
      </c>
      <c r="C20" s="265" t="s">
        <v>181</v>
      </c>
      <c r="D20" s="393">
        <v>2</v>
      </c>
      <c r="E20" s="238" t="s">
        <v>161</v>
      </c>
    </row>
    <row r="21" spans="1:9" ht="15" hidden="1" x14ac:dyDescent="0.25">
      <c r="B21" s="391" t="s">
        <v>182</v>
      </c>
      <c r="C21" s="265" t="s">
        <v>183</v>
      </c>
      <c r="D21" s="393">
        <v>3</v>
      </c>
      <c r="E21" s="238" t="s">
        <v>164</v>
      </c>
    </row>
    <row r="22" spans="1:9" ht="15" hidden="1" x14ac:dyDescent="0.25">
      <c r="B22" s="391" t="s">
        <v>184</v>
      </c>
      <c r="C22" s="265" t="s">
        <v>185</v>
      </c>
      <c r="D22" s="393">
        <v>4</v>
      </c>
      <c r="E22" s="238" t="s">
        <v>166</v>
      </c>
    </row>
    <row r="23" spans="1:9" ht="45" hidden="1" x14ac:dyDescent="0.25">
      <c r="B23" s="391" t="s">
        <v>186</v>
      </c>
      <c r="C23" s="266" t="s">
        <v>187</v>
      </c>
      <c r="D23" s="393">
        <v>5</v>
      </c>
      <c r="E23" s="238" t="s">
        <v>168</v>
      </c>
    </row>
    <row r="24" spans="1:9" ht="15" hidden="1" x14ac:dyDescent="0.25">
      <c r="B24" s="401" t="s">
        <v>188</v>
      </c>
      <c r="C24" s="265" t="s">
        <v>189</v>
      </c>
      <c r="D24" s="393">
        <v>6</v>
      </c>
      <c r="E24" s="238" t="s">
        <v>190</v>
      </c>
    </row>
    <row r="25" spans="1:9" ht="15" hidden="1" x14ac:dyDescent="0.25"/>
    <row r="27" spans="1:9" x14ac:dyDescent="0.3">
      <c r="B27" s="254" t="s">
        <v>191</v>
      </c>
    </row>
    <row r="28" spans="1:9" ht="27.75" customHeight="1" x14ac:dyDescent="0.3">
      <c r="A28" s="241"/>
      <c r="B28" s="1975" t="s">
        <v>192</v>
      </c>
      <c r="C28" s="242" t="s">
        <v>176</v>
      </c>
      <c r="D28" s="243" t="s">
        <v>178</v>
      </c>
      <c r="E28" s="243" t="s">
        <v>180</v>
      </c>
      <c r="F28" s="243" t="s">
        <v>182</v>
      </c>
      <c r="G28" s="243" t="s">
        <v>184</v>
      </c>
      <c r="H28" s="243" t="s">
        <v>186</v>
      </c>
      <c r="I28" s="198" t="s">
        <v>193</v>
      </c>
    </row>
    <row r="29" spans="1:9" ht="28.8" x14ac:dyDescent="0.3">
      <c r="A29" s="244"/>
      <c r="B29" s="1976"/>
      <c r="C29" s="245" t="s">
        <v>177</v>
      </c>
      <c r="D29" s="198" t="s">
        <v>179</v>
      </c>
      <c r="E29" s="198" t="s">
        <v>181</v>
      </c>
      <c r="F29" s="198" t="s">
        <v>183</v>
      </c>
      <c r="G29" s="198" t="s">
        <v>185</v>
      </c>
      <c r="H29" s="198" t="s">
        <v>187</v>
      </c>
      <c r="I29" s="198" t="s">
        <v>189</v>
      </c>
    </row>
    <row r="30" spans="1:9" x14ac:dyDescent="0.3">
      <c r="A30" s="244"/>
      <c r="B30" s="402">
        <v>0</v>
      </c>
      <c r="C30" s="403">
        <v>0.92534000000000005</v>
      </c>
      <c r="D30" s="404">
        <v>0.23436999999999999</v>
      </c>
      <c r="E30" s="404">
        <v>8.3470000000000003E-2</v>
      </c>
      <c r="F30" s="404">
        <v>3.4369999999999998E-2</v>
      </c>
      <c r="G30" s="404">
        <v>0</v>
      </c>
      <c r="H30" s="404">
        <v>0.21537999999999999</v>
      </c>
      <c r="I30" s="404">
        <v>0.43675999999999998</v>
      </c>
    </row>
    <row r="31" spans="1:9" x14ac:dyDescent="0.3">
      <c r="A31" s="244"/>
      <c r="B31" s="402">
        <v>1</v>
      </c>
      <c r="C31" s="403">
        <v>7.2569999999999996E-2</v>
      </c>
      <c r="D31" s="404">
        <v>0.68945999999999996</v>
      </c>
      <c r="E31" s="404">
        <v>0.76842999999999995</v>
      </c>
      <c r="F31" s="404">
        <v>0.55449000000000004</v>
      </c>
      <c r="G31" s="404">
        <v>0</v>
      </c>
      <c r="H31" s="404">
        <v>0.62727999999999995</v>
      </c>
      <c r="I31" s="404">
        <v>0.41738999999999998</v>
      </c>
    </row>
    <row r="32" spans="1:9" x14ac:dyDescent="0.3">
      <c r="A32" s="244"/>
      <c r="B32" s="402">
        <v>2</v>
      </c>
      <c r="C32" s="403">
        <v>1.98E-3</v>
      </c>
      <c r="D32" s="404">
        <v>6.3909999999999995E-2</v>
      </c>
      <c r="E32" s="404">
        <v>0.10897999999999999</v>
      </c>
      <c r="F32" s="404">
        <v>0.20907999999999999</v>
      </c>
      <c r="G32" s="404">
        <v>0</v>
      </c>
      <c r="H32" s="404">
        <v>0.104</v>
      </c>
      <c r="I32" s="404">
        <v>8.8719999999999993E-2</v>
      </c>
    </row>
    <row r="33" spans="1:10" x14ac:dyDescent="0.3">
      <c r="A33" s="244"/>
      <c r="B33" s="402">
        <v>3</v>
      </c>
      <c r="C33" s="403">
        <v>8.0000000000000007E-5</v>
      </c>
      <c r="D33" s="404">
        <v>1.0710000000000001E-2</v>
      </c>
      <c r="E33" s="404">
        <v>3.1910000000000001E-2</v>
      </c>
      <c r="F33" s="404">
        <v>0.14437</v>
      </c>
      <c r="G33" s="404">
        <v>0</v>
      </c>
      <c r="H33" s="404">
        <v>3.8580000000000003E-2</v>
      </c>
      <c r="I33" s="404">
        <v>4.8169999999999998E-2</v>
      </c>
    </row>
    <row r="34" spans="1:10" x14ac:dyDescent="0.3">
      <c r="A34" s="244"/>
      <c r="B34" s="402">
        <v>4</v>
      </c>
      <c r="C34" s="403">
        <v>0</v>
      </c>
      <c r="D34" s="404">
        <v>1.42E-3</v>
      </c>
      <c r="E34" s="404">
        <v>6.1999999999999998E-3</v>
      </c>
      <c r="F34" s="404">
        <v>3.986E-2</v>
      </c>
      <c r="G34" s="404">
        <v>0</v>
      </c>
      <c r="H34" s="404">
        <v>4.4200000000000003E-3</v>
      </c>
      <c r="I34" s="404">
        <v>6.1700000000000001E-3</v>
      </c>
    </row>
    <row r="35" spans="1:10" x14ac:dyDescent="0.3">
      <c r="A35" s="244"/>
      <c r="B35" s="402">
        <v>5</v>
      </c>
      <c r="C35" s="403">
        <v>3.0000000000000001E-5</v>
      </c>
      <c r="D35" s="404">
        <v>1.2999999999999999E-4</v>
      </c>
      <c r="E35" s="404">
        <v>1.01E-3</v>
      </c>
      <c r="F35" s="404">
        <v>1.7829999999999999E-2</v>
      </c>
      <c r="G35" s="404">
        <v>0</v>
      </c>
      <c r="H35" s="404">
        <v>1.034E-2</v>
      </c>
      <c r="I35" s="404">
        <v>2.7899999999999999E-3</v>
      </c>
    </row>
    <row r="36" spans="1:10" x14ac:dyDescent="0.3">
      <c r="A36" s="244"/>
      <c r="B36" s="402">
        <v>6</v>
      </c>
      <c r="C36" s="403">
        <v>0</v>
      </c>
      <c r="D36" s="404">
        <v>0</v>
      </c>
      <c r="E36" s="404">
        <v>0</v>
      </c>
      <c r="F36" s="404">
        <v>0</v>
      </c>
      <c r="G36" s="404">
        <v>1</v>
      </c>
      <c r="H36" s="404">
        <v>0</v>
      </c>
      <c r="I36" s="404">
        <v>0</v>
      </c>
    </row>
    <row r="37" spans="1:10" x14ac:dyDescent="0.3">
      <c r="A37" s="246"/>
      <c r="B37" s="402" t="s">
        <v>194</v>
      </c>
      <c r="C37" s="403">
        <f>SUM(C30:C36)</f>
        <v>1</v>
      </c>
      <c r="D37" s="404">
        <f t="shared" ref="D37:I37" si="0">SUM(D30:D36)</f>
        <v>0.99999999999999989</v>
      </c>
      <c r="E37" s="404">
        <f t="shared" si="0"/>
        <v>0.99999999999999989</v>
      </c>
      <c r="F37" s="404">
        <f t="shared" si="0"/>
        <v>1</v>
      </c>
      <c r="G37" s="404">
        <f t="shared" si="0"/>
        <v>1</v>
      </c>
      <c r="H37" s="404">
        <f t="shared" si="0"/>
        <v>0.99999999999999989</v>
      </c>
      <c r="I37" s="404">
        <f t="shared" si="0"/>
        <v>1</v>
      </c>
    </row>
    <row r="39" spans="1:10" ht="15" x14ac:dyDescent="0.25">
      <c r="B39" s="254" t="s">
        <v>199</v>
      </c>
    </row>
    <row r="40" spans="1:10" ht="15" x14ac:dyDescent="0.25">
      <c r="C40" s="243" t="s">
        <v>176</v>
      </c>
      <c r="D40" s="243" t="s">
        <v>178</v>
      </c>
      <c r="E40" s="243" t="s">
        <v>180</v>
      </c>
      <c r="F40" s="243" t="s">
        <v>182</v>
      </c>
      <c r="G40" s="243" t="s">
        <v>184</v>
      </c>
      <c r="H40" s="243" t="s">
        <v>186</v>
      </c>
      <c r="I40" s="198" t="s">
        <v>193</v>
      </c>
    </row>
    <row r="41" spans="1:10" ht="30" x14ac:dyDescent="0.25">
      <c r="B41" s="199"/>
      <c r="C41" s="198" t="s">
        <v>177</v>
      </c>
      <c r="D41" s="198" t="s">
        <v>179</v>
      </c>
      <c r="E41" s="198" t="s">
        <v>181</v>
      </c>
      <c r="F41" s="198" t="s">
        <v>183</v>
      </c>
      <c r="G41" s="198" t="s">
        <v>185</v>
      </c>
      <c r="H41" s="198" t="s">
        <v>187</v>
      </c>
      <c r="I41" s="198" t="s">
        <v>189</v>
      </c>
    </row>
    <row r="42" spans="1:10" ht="36.75" customHeight="1" x14ac:dyDescent="0.25">
      <c r="B42" s="251" t="s">
        <v>195</v>
      </c>
      <c r="C42" s="249">
        <v>1</v>
      </c>
      <c r="D42" s="250">
        <v>1</v>
      </c>
      <c r="E42" s="250">
        <v>1</v>
      </c>
      <c r="F42" s="250">
        <v>1</v>
      </c>
      <c r="G42" s="250">
        <v>1</v>
      </c>
      <c r="H42" s="250">
        <v>1</v>
      </c>
      <c r="I42" s="250">
        <v>1</v>
      </c>
      <c r="J42" s="252"/>
    </row>
    <row r="43" spans="1:10" ht="15" x14ac:dyDescent="0.25">
      <c r="B43" s="198" t="s">
        <v>196</v>
      </c>
      <c r="C43" s="405">
        <f t="shared" ref="C43:C49" si="1">$E6*C30*$C$42</f>
        <v>0</v>
      </c>
      <c r="D43" s="405">
        <f>$E6*D30*$D$42</f>
        <v>0</v>
      </c>
      <c r="E43" s="406">
        <f>$E6*E30*$E$42</f>
        <v>0</v>
      </c>
      <c r="F43" s="406">
        <f>$E6*F30*$F$42</f>
        <v>0</v>
      </c>
      <c r="G43" s="406">
        <f>$E6*G30*$G$42</f>
        <v>0</v>
      </c>
      <c r="H43" s="405">
        <f t="shared" ref="H43:H49" si="2">$E6*H30*$H$42</f>
        <v>0</v>
      </c>
      <c r="I43" s="405">
        <f>$E6*I30*$I$42</f>
        <v>0</v>
      </c>
      <c r="J43" s="199"/>
    </row>
    <row r="44" spans="1:10" ht="15" x14ac:dyDescent="0.25">
      <c r="B44" s="198" t="s">
        <v>158</v>
      </c>
      <c r="C44" s="405">
        <f t="shared" si="1"/>
        <v>2090.0160000000001</v>
      </c>
      <c r="D44" s="405">
        <f t="shared" ref="D44:D49" si="3">$E7*D31*$D$42</f>
        <v>19856.448</v>
      </c>
      <c r="E44" s="406">
        <f t="shared" ref="E44:E49" si="4">$E7*E31*$E$42</f>
        <v>22130.784</v>
      </c>
      <c r="F44" s="406">
        <f t="shared" ref="F44:F49" si="5">$E7*F31*$F$42</f>
        <v>15969.312000000002</v>
      </c>
      <c r="G44" s="406">
        <f t="shared" ref="G44:G49" si="6">$E7*G31*$G$42</f>
        <v>0</v>
      </c>
      <c r="H44" s="405">
        <f t="shared" si="2"/>
        <v>18065.663999999997</v>
      </c>
      <c r="I44" s="405">
        <f t="shared" ref="I44:I49" si="7">$E7*I31*$I$42</f>
        <v>12020.832</v>
      </c>
    </row>
    <row r="45" spans="1:10" ht="15" x14ac:dyDescent="0.25">
      <c r="B45" s="198" t="s">
        <v>160</v>
      </c>
      <c r="C45" s="405">
        <f t="shared" si="1"/>
        <v>893.37599999999998</v>
      </c>
      <c r="D45" s="405">
        <f t="shared" si="3"/>
        <v>28836.191999999999</v>
      </c>
      <c r="E45" s="406">
        <f t="shared" si="4"/>
        <v>49171.775999999998</v>
      </c>
      <c r="F45" s="406">
        <f t="shared" si="5"/>
        <v>94336.895999999993</v>
      </c>
      <c r="G45" s="406">
        <f t="shared" si="6"/>
        <v>0</v>
      </c>
      <c r="H45" s="405">
        <f t="shared" si="2"/>
        <v>46924.799999999996</v>
      </c>
      <c r="I45" s="405">
        <f t="shared" si="7"/>
        <v>40030.464</v>
      </c>
    </row>
    <row r="46" spans="1:10" ht="15" x14ac:dyDescent="0.25">
      <c r="B46" s="198" t="s">
        <v>163</v>
      </c>
      <c r="C46" s="405">
        <f t="shared" si="1"/>
        <v>80.64</v>
      </c>
      <c r="D46" s="405">
        <f t="shared" si="3"/>
        <v>10795.68</v>
      </c>
      <c r="E46" s="406">
        <f t="shared" si="4"/>
        <v>32165.280000000002</v>
      </c>
      <c r="F46" s="406">
        <f t="shared" si="5"/>
        <v>145524.96</v>
      </c>
      <c r="G46" s="406">
        <f t="shared" si="6"/>
        <v>0</v>
      </c>
      <c r="H46" s="405">
        <f t="shared" si="2"/>
        <v>38888.640000000007</v>
      </c>
      <c r="I46" s="405">
        <f t="shared" si="7"/>
        <v>48555.360000000001</v>
      </c>
    </row>
    <row r="47" spans="1:10" ht="15" x14ac:dyDescent="0.25">
      <c r="B47" s="198" t="s">
        <v>165</v>
      </c>
      <c r="C47" s="405">
        <f t="shared" si="1"/>
        <v>0</v>
      </c>
      <c r="D47" s="405">
        <f t="shared" si="3"/>
        <v>3626.1120000000001</v>
      </c>
      <c r="E47" s="406">
        <f t="shared" si="4"/>
        <v>15832.32</v>
      </c>
      <c r="F47" s="406">
        <f t="shared" si="5"/>
        <v>101786.496</v>
      </c>
      <c r="G47" s="406">
        <f t="shared" si="6"/>
        <v>0</v>
      </c>
      <c r="H47" s="405">
        <f t="shared" si="2"/>
        <v>11286.912</v>
      </c>
      <c r="I47" s="405">
        <f t="shared" si="7"/>
        <v>15755.712</v>
      </c>
    </row>
    <row r="48" spans="1:10" ht="15" x14ac:dyDescent="0.25">
      <c r="B48" s="198" t="s">
        <v>167</v>
      </c>
      <c r="C48" s="405">
        <f t="shared" si="1"/>
        <v>170.78399999999999</v>
      </c>
      <c r="D48" s="405">
        <f t="shared" si="3"/>
        <v>740.06399999999996</v>
      </c>
      <c r="E48" s="406">
        <f t="shared" si="4"/>
        <v>5749.7280000000001</v>
      </c>
      <c r="F48" s="406">
        <f t="shared" si="5"/>
        <v>101502.624</v>
      </c>
      <c r="G48" s="406">
        <f t="shared" si="6"/>
        <v>0</v>
      </c>
      <c r="H48" s="405">
        <f t="shared" si="2"/>
        <v>58863.552000000003</v>
      </c>
      <c r="I48" s="405">
        <f t="shared" si="7"/>
        <v>15882.912</v>
      </c>
    </row>
    <row r="49" spans="2:9" ht="15" x14ac:dyDescent="0.25">
      <c r="B49" s="198" t="s">
        <v>169</v>
      </c>
      <c r="C49" s="405">
        <f t="shared" si="1"/>
        <v>0</v>
      </c>
      <c r="D49" s="405">
        <f t="shared" si="3"/>
        <v>0</v>
      </c>
      <c r="E49" s="406">
        <f t="shared" si="4"/>
        <v>0</v>
      </c>
      <c r="F49" s="406">
        <f t="shared" si="5"/>
        <v>0</v>
      </c>
      <c r="G49" s="406">
        <f t="shared" si="6"/>
        <v>9600000</v>
      </c>
      <c r="H49" s="405">
        <f t="shared" si="2"/>
        <v>0</v>
      </c>
      <c r="I49" s="405">
        <f t="shared" si="7"/>
        <v>0</v>
      </c>
    </row>
    <row r="50" spans="2:9" ht="15" x14ac:dyDescent="0.25">
      <c r="B50" s="247" t="s">
        <v>197</v>
      </c>
      <c r="C50" s="248">
        <f t="shared" ref="C50:I50" si="8">SUM(C43:C49)</f>
        <v>3234.8159999999998</v>
      </c>
      <c r="D50" s="248">
        <f t="shared" si="8"/>
        <v>63854.495999999999</v>
      </c>
      <c r="E50" s="248">
        <f t="shared" si="8"/>
        <v>125049.88800000001</v>
      </c>
      <c r="F50" s="248">
        <f t="shared" si="8"/>
        <v>459120.288</v>
      </c>
      <c r="G50" s="248">
        <f t="shared" si="8"/>
        <v>9600000</v>
      </c>
      <c r="H50" s="248">
        <f t="shared" si="8"/>
        <v>174029.568</v>
      </c>
      <c r="I50" s="248">
        <f t="shared" si="8"/>
        <v>132245.28</v>
      </c>
    </row>
  </sheetData>
  <mergeCells count="12">
    <mergeCell ref="B28:B29"/>
    <mergeCell ref="A1:H1"/>
    <mergeCell ref="B3:E3"/>
    <mergeCell ref="G3:K3"/>
    <mergeCell ref="B4:E4"/>
    <mergeCell ref="G4:K4"/>
    <mergeCell ref="G5:K6"/>
    <mergeCell ref="G7:K11"/>
    <mergeCell ref="B16:C16"/>
    <mergeCell ref="D16:E16"/>
    <mergeCell ref="B17:C17"/>
    <mergeCell ref="D17:E17"/>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sheetPr>
  <dimension ref="B1:L34"/>
  <sheetViews>
    <sheetView workbookViewId="0"/>
  </sheetViews>
  <sheetFormatPr defaultColWidth="9.109375" defaultRowHeight="14.4" x14ac:dyDescent="0.3"/>
  <cols>
    <col min="1" max="1" width="3.5546875" style="253" customWidth="1"/>
    <col min="2" max="2" width="14" style="253" customWidth="1"/>
    <col min="3" max="3" width="12.109375" style="253" customWidth="1"/>
    <col min="4" max="4" width="14.5546875" style="253" customWidth="1"/>
    <col min="5" max="5" width="12.6640625" style="253" customWidth="1"/>
    <col min="6" max="6" width="9.109375" style="253"/>
    <col min="7" max="7" width="10.88671875" style="253" customWidth="1"/>
    <col min="8" max="8" width="12.109375" style="253" customWidth="1"/>
    <col min="9" max="9" width="15.6640625" style="253" customWidth="1"/>
    <col min="10" max="10" width="12.44140625" style="253" customWidth="1"/>
    <col min="11" max="11" width="9.109375" style="253"/>
    <col min="12" max="12" width="33" style="253" customWidth="1"/>
    <col min="13" max="16384" width="9.109375" style="253"/>
  </cols>
  <sheetData>
    <row r="1" spans="2:12" ht="18.75" x14ac:dyDescent="0.25">
      <c r="B1" s="1967" t="s">
        <v>655</v>
      </c>
      <c r="C1" s="1967"/>
      <c r="D1" s="1967"/>
      <c r="E1" s="1967"/>
      <c r="F1" s="1967"/>
      <c r="G1" s="1967"/>
      <c r="H1" s="1967"/>
      <c r="I1" s="1967"/>
    </row>
    <row r="2" spans="2:12" ht="15" x14ac:dyDescent="0.25">
      <c r="B2" s="254" t="s">
        <v>118</v>
      </c>
    </row>
    <row r="3" spans="2:12" ht="15.75" thickBot="1" x14ac:dyDescent="0.3">
      <c r="B3" s="302" t="s">
        <v>117</v>
      </c>
      <c r="C3" s="303" t="s">
        <v>96</v>
      </c>
      <c r="D3" s="304" t="s">
        <v>97</v>
      </c>
      <c r="E3" s="304" t="s">
        <v>98</v>
      </c>
      <c r="F3" s="304" t="s">
        <v>99</v>
      </c>
      <c r="G3" s="304" t="s">
        <v>100</v>
      </c>
      <c r="H3" s="304" t="s">
        <v>101</v>
      </c>
      <c r="I3" s="305" t="s">
        <v>102</v>
      </c>
      <c r="L3" s="253" t="s">
        <v>106</v>
      </c>
    </row>
    <row r="4" spans="2:12" ht="15.75" thickTop="1" x14ac:dyDescent="0.25">
      <c r="B4" s="306" t="s">
        <v>62</v>
      </c>
      <c r="C4" s="307">
        <v>2.6829999999999998</v>
      </c>
      <c r="D4" s="308">
        <v>4.0430000000000001</v>
      </c>
      <c r="E4" s="309">
        <v>6.4950000000000001</v>
      </c>
      <c r="F4" s="308">
        <v>1.373</v>
      </c>
      <c r="G4" s="308">
        <v>2.72</v>
      </c>
      <c r="H4" s="309">
        <v>3.4550000000000001</v>
      </c>
      <c r="I4" s="310">
        <v>19.152999999999999</v>
      </c>
      <c r="L4" s="253" t="s">
        <v>107</v>
      </c>
    </row>
    <row r="5" spans="2:12" ht="15" x14ac:dyDescent="0.25">
      <c r="B5" s="311" t="s">
        <v>103</v>
      </c>
      <c r="C5" s="312">
        <v>3.1629999999999998</v>
      </c>
      <c r="D5" s="313">
        <v>4.8380000000000001</v>
      </c>
      <c r="E5" s="314">
        <v>7.26</v>
      </c>
      <c r="F5" s="313">
        <v>1.353</v>
      </c>
      <c r="G5" s="313">
        <v>2.68</v>
      </c>
      <c r="H5" s="314">
        <v>3.5030000000000001</v>
      </c>
      <c r="I5" s="315">
        <v>21.114999999999998</v>
      </c>
      <c r="L5" s="253" t="s">
        <v>108</v>
      </c>
    </row>
    <row r="6" spans="2:12" ht="15" x14ac:dyDescent="0.25">
      <c r="B6" s="311" t="s">
        <v>33</v>
      </c>
      <c r="C6" s="312">
        <v>71.224999999999994</v>
      </c>
      <c r="D6" s="313">
        <v>72.724999999999994</v>
      </c>
      <c r="E6" s="314">
        <v>151.9</v>
      </c>
      <c r="F6" s="313">
        <v>7.0179999999999998</v>
      </c>
      <c r="G6" s="313">
        <v>5.8529999999999998</v>
      </c>
      <c r="H6" s="314">
        <v>25.628</v>
      </c>
      <c r="I6" s="315">
        <v>301.07499999999999</v>
      </c>
      <c r="L6" s="253" t="s">
        <v>109</v>
      </c>
    </row>
    <row r="7" spans="2:12" ht="18" x14ac:dyDescent="0.25">
      <c r="B7" s="311" t="s">
        <v>115</v>
      </c>
      <c r="C7" s="312">
        <v>3.5150000000000001</v>
      </c>
      <c r="D7" s="313">
        <v>4.0650000000000004</v>
      </c>
      <c r="E7" s="314">
        <v>5.33</v>
      </c>
      <c r="F7" s="313">
        <v>2.69</v>
      </c>
      <c r="G7" s="313">
        <v>3.7050000000000001</v>
      </c>
      <c r="H7" s="314">
        <v>33.762999999999998</v>
      </c>
      <c r="I7" s="315">
        <v>1.625</v>
      </c>
      <c r="L7" s="253" t="s">
        <v>112</v>
      </c>
    </row>
    <row r="8" spans="2:12" ht="15" x14ac:dyDescent="0.25">
      <c r="B8" s="311" t="s">
        <v>104</v>
      </c>
      <c r="C8" s="316" t="s">
        <v>93</v>
      </c>
      <c r="D8" s="317" t="s">
        <v>93</v>
      </c>
      <c r="E8" s="318" t="s">
        <v>93</v>
      </c>
      <c r="F8" s="317" t="s">
        <v>93</v>
      </c>
      <c r="G8" s="317" t="s">
        <v>93</v>
      </c>
      <c r="H8" s="314">
        <v>1.1000000000000001</v>
      </c>
      <c r="I8" s="319" t="s">
        <v>93</v>
      </c>
      <c r="L8" s="253" t="s">
        <v>110</v>
      </c>
    </row>
    <row r="9" spans="2:12" ht="18.75" thickBot="1" x14ac:dyDescent="0.3">
      <c r="B9" s="320" t="s">
        <v>105</v>
      </c>
      <c r="C9" s="321" t="s">
        <v>93</v>
      </c>
      <c r="D9" s="322" t="s">
        <v>93</v>
      </c>
      <c r="E9" s="323" t="s">
        <v>93</v>
      </c>
      <c r="F9" s="322" t="s">
        <v>93</v>
      </c>
      <c r="G9" s="322" t="s">
        <v>93</v>
      </c>
      <c r="H9" s="324">
        <v>1.196</v>
      </c>
      <c r="I9" s="325" t="s">
        <v>93</v>
      </c>
      <c r="L9" s="253" t="s">
        <v>111</v>
      </c>
    </row>
    <row r="11" spans="2:12" ht="31.5" customHeight="1" x14ac:dyDescent="0.25">
      <c r="B11" s="1921" t="s">
        <v>116</v>
      </c>
      <c r="C11" s="1921"/>
      <c r="D11" s="1921"/>
      <c r="E11" s="1921"/>
      <c r="F11" s="1921"/>
      <c r="G11" s="1921"/>
      <c r="H11" s="1921"/>
      <c r="I11" s="1921"/>
    </row>
    <row r="12" spans="2:12" ht="20.25" customHeight="1" x14ac:dyDescent="0.25">
      <c r="B12" s="1921" t="s">
        <v>120</v>
      </c>
      <c r="C12" s="1921"/>
      <c r="D12" s="1921"/>
      <c r="E12" s="1921"/>
      <c r="F12" s="1921"/>
      <c r="G12" s="1921"/>
      <c r="H12" s="1921"/>
      <c r="I12" s="1921"/>
    </row>
    <row r="13" spans="2:12" ht="16.5" customHeight="1" x14ac:dyDescent="0.25">
      <c r="B13" s="326"/>
      <c r="C13" s="326"/>
      <c r="D13" s="326"/>
      <c r="E13" s="326"/>
      <c r="F13" s="326"/>
      <c r="G13" s="326"/>
      <c r="H13" s="326"/>
      <c r="I13" s="326"/>
    </row>
    <row r="14" spans="2:12" ht="15" x14ac:dyDescent="0.25">
      <c r="B14" s="254" t="s">
        <v>137</v>
      </c>
    </row>
    <row r="15" spans="2:12" ht="30.75" thickBot="1" x14ac:dyDescent="0.3">
      <c r="B15" s="327" t="s">
        <v>117</v>
      </c>
      <c r="C15" s="224" t="s">
        <v>113</v>
      </c>
      <c r="D15" s="224" t="s">
        <v>114</v>
      </c>
    </row>
    <row r="16" spans="2:12" ht="15.75" thickTop="1" x14ac:dyDescent="0.25">
      <c r="B16" s="328" t="s">
        <v>62</v>
      </c>
      <c r="C16" s="329">
        <f>AVERAGE(C4:D4,F4:G4)</f>
        <v>2.7047500000000002</v>
      </c>
      <c r="D16" s="329">
        <f t="shared" ref="D16:D21" si="0">AVERAGE(E4,H4)</f>
        <v>4.9749999999999996</v>
      </c>
    </row>
    <row r="17" spans="2:10" ht="15" x14ac:dyDescent="0.25">
      <c r="B17" s="330" t="s">
        <v>103</v>
      </c>
      <c r="C17" s="331">
        <f>AVERAGE(C5:D5,F5:G5)</f>
        <v>3.0084999999999997</v>
      </c>
      <c r="D17" s="331">
        <f t="shared" si="0"/>
        <v>5.3815</v>
      </c>
    </row>
    <row r="18" spans="2:10" ht="15" x14ac:dyDescent="0.25">
      <c r="B18" s="330" t="s">
        <v>33</v>
      </c>
      <c r="C18" s="331">
        <f>AVERAGE(C6:D6,F6:G6)</f>
        <v>39.205249999999999</v>
      </c>
      <c r="D18" s="331">
        <f t="shared" si="0"/>
        <v>88.76400000000001</v>
      </c>
    </row>
    <row r="19" spans="2:10" ht="18" x14ac:dyDescent="0.25">
      <c r="B19" s="330" t="s">
        <v>115</v>
      </c>
      <c r="C19" s="331">
        <f>AVERAGE(C7:D7,F7:G7)</f>
        <v>3.4937499999999999</v>
      </c>
      <c r="D19" s="331">
        <f t="shared" si="0"/>
        <v>19.546499999999998</v>
      </c>
    </row>
    <row r="20" spans="2:10" ht="15" x14ac:dyDescent="0.25">
      <c r="B20" s="330" t="s">
        <v>104</v>
      </c>
      <c r="C20" s="332" t="s">
        <v>93</v>
      </c>
      <c r="D20" s="331">
        <f t="shared" si="0"/>
        <v>1.1000000000000001</v>
      </c>
    </row>
    <row r="21" spans="2:10" ht="18" x14ac:dyDescent="0.25">
      <c r="B21" s="330" t="s">
        <v>105</v>
      </c>
      <c r="C21" s="332" t="s">
        <v>93</v>
      </c>
      <c r="D21" s="331">
        <f t="shared" si="0"/>
        <v>1.196</v>
      </c>
    </row>
    <row r="24" spans="2:10" ht="30" customHeight="1" thickBot="1" x14ac:dyDescent="0.3">
      <c r="B24" s="1985" t="s">
        <v>131</v>
      </c>
      <c r="C24" s="1985"/>
      <c r="D24" s="1985"/>
      <c r="E24" s="1985"/>
      <c r="F24" s="264"/>
      <c r="G24" s="1986" t="s">
        <v>132</v>
      </c>
      <c r="H24" s="1986"/>
      <c r="I24" s="1986"/>
    </row>
    <row r="25" spans="2:10" ht="45.75" thickBot="1" x14ac:dyDescent="0.3">
      <c r="B25" s="333" t="s">
        <v>117</v>
      </c>
      <c r="C25" s="217" t="s">
        <v>127</v>
      </c>
      <c r="D25" s="218" t="s">
        <v>128</v>
      </c>
      <c r="E25" s="219" t="s">
        <v>138</v>
      </c>
      <c r="F25" s="195"/>
      <c r="G25" s="221" t="s">
        <v>117</v>
      </c>
      <c r="H25" s="222" t="s">
        <v>123</v>
      </c>
      <c r="I25" s="223" t="s">
        <v>124</v>
      </c>
      <c r="J25" s="219" t="s">
        <v>138</v>
      </c>
    </row>
    <row r="26" spans="2:10" ht="15.75" thickTop="1" x14ac:dyDescent="0.25">
      <c r="B26" s="213" t="s">
        <v>62</v>
      </c>
      <c r="C26" s="214">
        <v>1.034</v>
      </c>
      <c r="D26" s="215">
        <v>1.224</v>
      </c>
      <c r="E26" s="216">
        <f>AVERAGE(C26:D26)</f>
        <v>1.129</v>
      </c>
      <c r="F26" s="202"/>
      <c r="G26" s="213" t="s">
        <v>62</v>
      </c>
      <c r="H26" s="334">
        <v>1.5860000000000001</v>
      </c>
      <c r="I26" s="335">
        <v>0.44700000000000001</v>
      </c>
      <c r="J26" s="216">
        <f t="shared" ref="J26:J31" si="1">AVERAGE(H26:I26)</f>
        <v>1.0165</v>
      </c>
    </row>
    <row r="27" spans="2:10" ht="15" x14ac:dyDescent="0.25">
      <c r="B27" s="203" t="s">
        <v>103</v>
      </c>
      <c r="C27" s="209">
        <v>1.077</v>
      </c>
      <c r="D27" s="204">
        <v>1.2889999999999999</v>
      </c>
      <c r="E27" s="201">
        <f t="shared" ref="E27:E32" si="2">AVERAGE(C27:D27)</f>
        <v>1.1829999999999998</v>
      </c>
      <c r="F27" s="205"/>
      <c r="G27" s="203" t="s">
        <v>103</v>
      </c>
      <c r="H27" s="336">
        <v>1.635</v>
      </c>
      <c r="I27" s="337">
        <v>0.45300000000000001</v>
      </c>
      <c r="J27" s="201">
        <f t="shared" si="1"/>
        <v>1.044</v>
      </c>
    </row>
    <row r="28" spans="2:10" ht="15" x14ac:dyDescent="0.25">
      <c r="B28" s="203" t="s">
        <v>33</v>
      </c>
      <c r="C28" s="209">
        <v>9.4</v>
      </c>
      <c r="D28" s="204">
        <v>11.84</v>
      </c>
      <c r="E28" s="201">
        <f t="shared" si="2"/>
        <v>10.620000000000001</v>
      </c>
      <c r="F28" s="206"/>
      <c r="G28" s="203" t="s">
        <v>33</v>
      </c>
      <c r="H28" s="336">
        <v>13.13</v>
      </c>
      <c r="I28" s="337">
        <v>2.3109999999999999</v>
      </c>
      <c r="J28" s="201">
        <f t="shared" si="1"/>
        <v>7.7205000000000004</v>
      </c>
    </row>
    <row r="29" spans="2:10" x14ac:dyDescent="0.3">
      <c r="B29" s="203" t="s">
        <v>61</v>
      </c>
      <c r="C29" s="209">
        <v>0.69299999999999995</v>
      </c>
      <c r="D29" s="204">
        <v>0.95</v>
      </c>
      <c r="E29" s="201">
        <f t="shared" si="2"/>
        <v>0.8214999999999999</v>
      </c>
      <c r="F29" s="207"/>
      <c r="G29" s="203" t="s">
        <v>61</v>
      </c>
      <c r="H29" s="336">
        <v>2.9140000000000001</v>
      </c>
      <c r="I29" s="337">
        <v>8.6129999999999995</v>
      </c>
      <c r="J29" s="201">
        <f t="shared" si="1"/>
        <v>5.7634999999999996</v>
      </c>
    </row>
    <row r="30" spans="2:10" ht="15.6" x14ac:dyDescent="0.3">
      <c r="B30" s="203" t="s">
        <v>105</v>
      </c>
      <c r="C30" s="209">
        <v>4.4000000000000003E-3</v>
      </c>
      <c r="D30" s="204">
        <v>4.8999999999999998E-3</v>
      </c>
      <c r="E30" s="201">
        <f t="shared" si="2"/>
        <v>4.6499999999999996E-3</v>
      </c>
      <c r="F30" s="205"/>
      <c r="G30" s="203" t="s">
        <v>105</v>
      </c>
      <c r="H30" s="336">
        <v>4.3999999999999997E-2</v>
      </c>
      <c r="I30" s="337">
        <v>0.20200000000000001</v>
      </c>
      <c r="J30" s="201">
        <f t="shared" si="1"/>
        <v>0.123</v>
      </c>
    </row>
    <row r="31" spans="2:10" ht="16.2" thickBot="1" x14ac:dyDescent="0.35">
      <c r="B31" s="203" t="s">
        <v>125</v>
      </c>
      <c r="C31" s="209">
        <v>4.1000000000000003E-3</v>
      </c>
      <c r="D31" s="204">
        <v>4.4999999999999997E-3</v>
      </c>
      <c r="E31" s="201">
        <f t="shared" si="2"/>
        <v>4.3E-3</v>
      </c>
      <c r="F31" s="206"/>
      <c r="G31" s="208" t="s">
        <v>125</v>
      </c>
      <c r="H31" s="338">
        <v>5.0999999999999997E-2</v>
      </c>
      <c r="I31" s="339">
        <v>0.219</v>
      </c>
      <c r="J31" s="220">
        <f t="shared" si="1"/>
        <v>0.13500000000000001</v>
      </c>
    </row>
    <row r="32" spans="2:10" ht="16.2" thickBot="1" x14ac:dyDescent="0.35">
      <c r="B32" s="200" t="s">
        <v>126</v>
      </c>
      <c r="C32" s="211">
        <v>368.4</v>
      </c>
      <c r="D32" s="212">
        <v>513.5</v>
      </c>
      <c r="E32" s="197">
        <f t="shared" si="2"/>
        <v>440.95</v>
      </c>
      <c r="F32" s="196"/>
      <c r="G32" s="1987"/>
      <c r="H32" s="1987"/>
      <c r="I32" s="1987"/>
    </row>
    <row r="33" spans="2:10" ht="82.5" customHeight="1" x14ac:dyDescent="0.3">
      <c r="B33" s="1921" t="s">
        <v>130</v>
      </c>
      <c r="C33" s="1921"/>
      <c r="D33" s="1921"/>
      <c r="E33" s="1921"/>
      <c r="G33" s="1921" t="s">
        <v>129</v>
      </c>
      <c r="H33" s="1921"/>
      <c r="I33" s="1921"/>
      <c r="J33" s="1921"/>
    </row>
    <row r="34" spans="2:10" x14ac:dyDescent="0.3">
      <c r="B34" s="253" t="s">
        <v>133</v>
      </c>
      <c r="G34" s="1984" t="s">
        <v>134</v>
      </c>
      <c r="H34" s="1984"/>
      <c r="I34" s="1984"/>
      <c r="J34" s="1984"/>
    </row>
  </sheetData>
  <mergeCells count="9">
    <mergeCell ref="B1:I1"/>
    <mergeCell ref="G34:J34"/>
    <mergeCell ref="B12:I12"/>
    <mergeCell ref="B11:I11"/>
    <mergeCell ref="B24:E24"/>
    <mergeCell ref="G24:I24"/>
    <mergeCell ref="G32:I32"/>
    <mergeCell ref="B33:E33"/>
    <mergeCell ref="G33:J3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S10"/>
  <sheetViews>
    <sheetView workbookViewId="0">
      <selection sqref="A1:H1"/>
    </sheetView>
  </sheetViews>
  <sheetFormatPr defaultColWidth="9.109375" defaultRowHeight="14.4" x14ac:dyDescent="0.3"/>
  <cols>
    <col min="1" max="1" width="11.109375" style="253" customWidth="1"/>
    <col min="2" max="2" width="29.33203125" style="253" customWidth="1"/>
    <col min="3" max="5" width="10.6640625" style="253" customWidth="1"/>
    <col min="6" max="6" width="11.33203125" style="253" customWidth="1"/>
    <col min="7" max="7" width="11.88671875" style="253" customWidth="1"/>
    <col min="8" max="8" width="10.6640625" style="253" customWidth="1"/>
    <col min="9" max="9" width="14" style="253" customWidth="1"/>
    <col min="10" max="10" width="11" style="253" customWidth="1"/>
    <col min="11" max="15" width="10.6640625" style="253" customWidth="1"/>
    <col min="16" max="18" width="10.6640625" style="260" customWidth="1"/>
    <col min="19" max="28" width="10.6640625" style="253" customWidth="1"/>
    <col min="29" max="16384" width="9.109375" style="253"/>
  </cols>
  <sheetData>
    <row r="1" spans="1:19" s="260" customFormat="1" ht="18.75" x14ac:dyDescent="0.25">
      <c r="A1" s="1967" t="s">
        <v>654</v>
      </c>
      <c r="B1" s="1967"/>
      <c r="C1" s="1967"/>
      <c r="D1" s="1967"/>
      <c r="E1" s="1967"/>
      <c r="F1" s="1967"/>
      <c r="G1" s="1967"/>
      <c r="H1" s="1967"/>
      <c r="I1" s="253"/>
      <c r="J1" s="253"/>
      <c r="K1" s="253"/>
      <c r="L1" s="253"/>
      <c r="M1" s="253"/>
      <c r="N1" s="253"/>
      <c r="O1" s="253"/>
      <c r="S1" s="253"/>
    </row>
    <row r="2" spans="1:19" s="260" customFormat="1" ht="18.75" x14ac:dyDescent="0.25">
      <c r="A2" s="273" t="s">
        <v>219</v>
      </c>
      <c r="B2" s="254"/>
      <c r="C2" s="254"/>
      <c r="D2" s="253"/>
      <c r="E2" s="253"/>
      <c r="F2" s="253"/>
      <c r="G2" s="253"/>
      <c r="H2" s="253"/>
      <c r="I2" s="253"/>
      <c r="J2" s="253"/>
      <c r="K2" s="253"/>
      <c r="L2" s="253"/>
      <c r="M2" s="253"/>
      <c r="N2" s="253"/>
      <c r="O2" s="253"/>
      <c r="S2" s="253"/>
    </row>
    <row r="3" spans="1:19" s="260" customFormat="1" x14ac:dyDescent="0.3">
      <c r="A3" s="253"/>
      <c r="B3" s="253" t="s">
        <v>234</v>
      </c>
      <c r="C3" s="253"/>
      <c r="D3" s="253"/>
      <c r="E3" s="253"/>
      <c r="F3" s="253"/>
      <c r="G3" s="253"/>
      <c r="H3" s="253"/>
      <c r="I3" s="253"/>
      <c r="J3" s="253"/>
      <c r="K3" s="253"/>
      <c r="L3" s="253"/>
      <c r="M3" s="253"/>
      <c r="N3" s="253"/>
      <c r="O3" s="253"/>
      <c r="S3" s="253"/>
    </row>
    <row r="4" spans="1:19" s="260" customFormat="1" ht="15" x14ac:dyDescent="0.25">
      <c r="A4" s="253"/>
      <c r="B4" s="253" t="s">
        <v>222</v>
      </c>
      <c r="C4" s="253"/>
      <c r="D4" s="253"/>
      <c r="E4" s="253"/>
      <c r="F4" s="253"/>
      <c r="G4" s="253"/>
      <c r="H4" s="253"/>
      <c r="I4" s="253"/>
      <c r="J4" s="253"/>
      <c r="K4" s="253"/>
      <c r="L4" s="253"/>
      <c r="M4" s="253"/>
      <c r="N4" s="253"/>
      <c r="O4" s="253"/>
      <c r="S4" s="253"/>
    </row>
    <row r="5" spans="1:19" s="260" customFormat="1" ht="15" x14ac:dyDescent="0.25">
      <c r="A5" s="253"/>
      <c r="B5" s="269"/>
      <c r="C5" s="253"/>
      <c r="D5" s="253"/>
      <c r="E5" s="253"/>
      <c r="F5" s="253"/>
      <c r="G5" s="253"/>
      <c r="H5" s="253"/>
      <c r="I5" s="253"/>
      <c r="J5" s="253"/>
      <c r="K5" s="253"/>
      <c r="L5" s="253"/>
      <c r="M5" s="253"/>
      <c r="N5" s="253"/>
      <c r="O5" s="253"/>
      <c r="S5" s="253"/>
    </row>
    <row r="6" spans="1:19" s="260" customFormat="1" ht="15" x14ac:dyDescent="0.25">
      <c r="A6" s="253"/>
      <c r="B6" s="254" t="s">
        <v>235</v>
      </c>
      <c r="C6" s="253"/>
      <c r="D6" s="253"/>
      <c r="E6" s="253"/>
      <c r="F6" s="253"/>
      <c r="G6" s="1988" t="s">
        <v>211</v>
      </c>
      <c r="H6" s="1989"/>
      <c r="I6" s="1990"/>
      <c r="J6" s="253"/>
      <c r="K6" s="253"/>
      <c r="L6" s="253"/>
      <c r="M6" s="253"/>
      <c r="N6" s="253"/>
      <c r="O6" s="253"/>
      <c r="S6" s="253"/>
    </row>
    <row r="7" spans="1:19" s="260" customFormat="1" ht="15" x14ac:dyDescent="0.25">
      <c r="A7" s="253"/>
      <c r="B7" s="253"/>
      <c r="C7" s="271">
        <v>1995</v>
      </c>
      <c r="D7" s="271">
        <v>2005</v>
      </c>
      <c r="E7" s="271">
        <v>2014</v>
      </c>
      <c r="F7" s="271">
        <v>2015</v>
      </c>
      <c r="G7" s="271" t="s">
        <v>224</v>
      </c>
      <c r="H7" s="271" t="s">
        <v>225</v>
      </c>
      <c r="I7" s="271" t="s">
        <v>226</v>
      </c>
      <c r="J7" s="253"/>
      <c r="K7" s="253"/>
      <c r="L7" s="253"/>
      <c r="M7" s="253"/>
      <c r="N7" s="253"/>
      <c r="O7" s="253"/>
      <c r="S7" s="253"/>
    </row>
    <row r="8" spans="1:19" s="260" customFormat="1" ht="41.25" customHeight="1" x14ac:dyDescent="0.25">
      <c r="A8" s="253"/>
      <c r="B8" s="390" t="s">
        <v>223</v>
      </c>
      <c r="C8" s="258">
        <v>1.1579999999999999</v>
      </c>
      <c r="D8" s="258">
        <v>2.3140000000000001</v>
      </c>
      <c r="E8" s="258">
        <v>3.4369999999999998</v>
      </c>
      <c r="F8" s="258">
        <v>2.52</v>
      </c>
      <c r="G8" s="259">
        <f>(F8/C8)^(1/($F$7-$C$7))-1</f>
        <v>3.9643874471628093E-2</v>
      </c>
      <c r="H8" s="259">
        <f>(F8/D8)^(1/($F$7-$D$7))-1</f>
        <v>8.5645953469983827E-3</v>
      </c>
      <c r="I8" s="259">
        <f>(E8/D8)^(1/($E$7-$D$7))-1</f>
        <v>4.4938393300576251E-2</v>
      </c>
      <c r="J8" s="253"/>
      <c r="K8" s="253"/>
      <c r="L8" s="253"/>
      <c r="M8" s="253"/>
      <c r="N8" s="253"/>
      <c r="O8" s="253"/>
      <c r="S8" s="253"/>
    </row>
    <row r="9" spans="1:19" s="260" customFormat="1" ht="45.75" customHeight="1" x14ac:dyDescent="0.25">
      <c r="A9" s="253"/>
      <c r="B9" s="280" t="s">
        <v>227</v>
      </c>
      <c r="C9" s="258">
        <v>1.109</v>
      </c>
      <c r="D9" s="258">
        <v>2.4020000000000001</v>
      </c>
      <c r="E9" s="258">
        <v>3.8250000000000002</v>
      </c>
      <c r="F9" s="258">
        <v>2.7069999999999999</v>
      </c>
      <c r="G9" s="259">
        <f>(F9/C9)^(1/($F$7-$C$7))-1</f>
        <v>4.5629519571425359E-2</v>
      </c>
      <c r="H9" s="259">
        <f>(F9/D9)^(1/($F$7-$D$7))-1</f>
        <v>1.2025662451520036E-2</v>
      </c>
      <c r="I9" s="259">
        <f>(E9/D9)^(1/($E$7-$D$7))-1</f>
        <v>5.3054715916259987E-2</v>
      </c>
      <c r="J9" s="253"/>
      <c r="K9" s="268"/>
      <c r="L9" s="253"/>
      <c r="M9" s="253"/>
      <c r="N9" s="253"/>
      <c r="O9" s="253"/>
      <c r="S9" s="253"/>
    </row>
    <row r="10" spans="1:19" s="260" customFormat="1" ht="15" x14ac:dyDescent="0.25">
      <c r="A10" s="253" t="s">
        <v>220</v>
      </c>
      <c r="B10" s="281" t="s">
        <v>221</v>
      </c>
      <c r="C10" s="253"/>
      <c r="D10" s="253"/>
      <c r="E10" s="253"/>
      <c r="F10" s="253"/>
      <c r="G10" s="253"/>
      <c r="H10" s="253"/>
      <c r="I10" s="253"/>
      <c r="J10" s="253"/>
      <c r="K10" s="253"/>
      <c r="L10" s="253"/>
      <c r="M10" s="253"/>
      <c r="N10" s="253"/>
      <c r="O10" s="253"/>
      <c r="S10" s="253"/>
    </row>
  </sheetData>
  <mergeCells count="2">
    <mergeCell ref="G6:I6"/>
    <mergeCell ref="A1:H1"/>
  </mergeCells>
  <hyperlinks>
    <hyperlink ref="B10" r:id="rId1"/>
  </hyperlinks>
  <pageMargins left="0.7" right="0.2" top="0.75" bottom="0.75" header="0.3" footer="0.3"/>
  <pageSetup paperSize="3"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sheetPr>
  <dimension ref="A1:AV45"/>
  <sheetViews>
    <sheetView topLeftCell="A16" workbookViewId="0">
      <selection activeCell="D35" sqref="D35"/>
    </sheetView>
  </sheetViews>
  <sheetFormatPr defaultColWidth="12.5546875" defaultRowHeight="13.2" x14ac:dyDescent="0.3"/>
  <cols>
    <col min="1" max="1" width="4.5546875" style="15" customWidth="1"/>
    <col min="2" max="2" width="12.5546875" style="15"/>
    <col min="3" max="3" width="16.33203125" style="15" customWidth="1"/>
    <col min="4" max="4" width="14" style="15" customWidth="1"/>
    <col min="5" max="16384" width="12.5546875" style="15"/>
  </cols>
  <sheetData>
    <row r="1" spans="1:14" ht="18.75" x14ac:dyDescent="0.25">
      <c r="B1" s="1967" t="s">
        <v>653</v>
      </c>
      <c r="C1" s="1967"/>
      <c r="D1" s="1967"/>
      <c r="E1" s="1967"/>
      <c r="F1" s="1967"/>
      <c r="G1" s="1967"/>
      <c r="H1" s="1967"/>
      <c r="I1" s="1967"/>
    </row>
    <row r="2" spans="1:14" ht="15.75" x14ac:dyDescent="0.25">
      <c r="A2" s="14"/>
      <c r="B2" s="1991" t="s">
        <v>76</v>
      </c>
      <c r="C2" s="1992"/>
      <c r="D2" s="1992"/>
      <c r="E2" s="1992"/>
      <c r="F2" s="1992"/>
      <c r="G2" s="1992"/>
      <c r="H2" s="14"/>
      <c r="I2" s="14"/>
    </row>
    <row r="3" spans="1:14" ht="15.75" x14ac:dyDescent="0.25">
      <c r="A3" s="14"/>
      <c r="B3" s="1991" t="s">
        <v>77</v>
      </c>
      <c r="C3" s="1992"/>
      <c r="D3" s="1992"/>
      <c r="E3" s="1992"/>
      <c r="F3" s="1992"/>
      <c r="G3" s="1992"/>
      <c r="H3" s="14"/>
      <c r="I3" s="14"/>
    </row>
    <row r="4" spans="1:14" ht="12.75" x14ac:dyDescent="0.2">
      <c r="B4" s="1992"/>
      <c r="C4" s="1992"/>
      <c r="D4" s="1992"/>
      <c r="E4" s="1992"/>
      <c r="F4" s="1992"/>
      <c r="G4" s="1992"/>
    </row>
    <row r="5" spans="1:14" ht="12.75" x14ac:dyDescent="0.2">
      <c r="B5" s="734" t="s">
        <v>78</v>
      </c>
      <c r="C5" s="1993" t="s">
        <v>520</v>
      </c>
      <c r="D5" s="1992"/>
      <c r="E5" s="1992"/>
      <c r="F5" s="1992"/>
      <c r="G5" s="1992"/>
      <c r="I5" s="789" t="s">
        <v>78</v>
      </c>
      <c r="J5" s="1993" t="s">
        <v>520</v>
      </c>
      <c r="K5" s="1992"/>
      <c r="L5" s="1992"/>
      <c r="M5" s="1992"/>
      <c r="N5" s="1992"/>
    </row>
    <row r="6" spans="1:14" ht="12.75" x14ac:dyDescent="0.2">
      <c r="B6" s="1995" t="s">
        <v>79</v>
      </c>
      <c r="C6" s="1992"/>
      <c r="D6" s="1992"/>
      <c r="E6" s="1992"/>
      <c r="F6" s="1992"/>
      <c r="G6" s="1992"/>
      <c r="I6" s="1995" t="s">
        <v>79</v>
      </c>
      <c r="J6" s="1992"/>
      <c r="K6" s="1992"/>
      <c r="L6" s="1992"/>
      <c r="M6" s="1992"/>
      <c r="N6" s="1992"/>
    </row>
    <row r="7" spans="1:14" ht="12.75" x14ac:dyDescent="0.2">
      <c r="B7" s="734" t="s">
        <v>80</v>
      </c>
      <c r="C7" s="1993" t="s">
        <v>521</v>
      </c>
      <c r="D7" s="1992"/>
      <c r="E7" s="1992"/>
      <c r="F7" s="1992"/>
      <c r="G7" s="1992"/>
      <c r="I7" s="789" t="s">
        <v>80</v>
      </c>
      <c r="J7" s="1993" t="s">
        <v>560</v>
      </c>
      <c r="K7" s="1992"/>
      <c r="L7" s="1992"/>
      <c r="M7" s="1992"/>
      <c r="N7" s="1992"/>
    </row>
    <row r="8" spans="1:14" ht="15" customHeight="1" x14ac:dyDescent="0.2">
      <c r="B8" s="734" t="s">
        <v>81</v>
      </c>
      <c r="C8" s="1993" t="s">
        <v>82</v>
      </c>
      <c r="D8" s="1992"/>
      <c r="E8" s="1992"/>
      <c r="F8" s="1992"/>
      <c r="G8" s="1992"/>
      <c r="I8" s="789" t="s">
        <v>81</v>
      </c>
      <c r="J8" s="1993" t="s">
        <v>82</v>
      </c>
      <c r="K8" s="1992"/>
      <c r="L8" s="1992"/>
      <c r="M8" s="1992"/>
      <c r="N8" s="1992"/>
    </row>
    <row r="9" spans="1:14" ht="12.75" x14ac:dyDescent="0.2">
      <c r="B9" s="734" t="s">
        <v>83</v>
      </c>
      <c r="C9" s="1993" t="s">
        <v>84</v>
      </c>
      <c r="D9" s="1992"/>
      <c r="E9" s="1992"/>
      <c r="F9" s="1992"/>
      <c r="G9" s="1992"/>
      <c r="I9" s="789" t="s">
        <v>83</v>
      </c>
      <c r="J9" s="1993" t="s">
        <v>84</v>
      </c>
      <c r="K9" s="1992"/>
      <c r="L9" s="1992"/>
      <c r="M9" s="1992"/>
      <c r="N9" s="1992"/>
    </row>
    <row r="10" spans="1:14" ht="12.75" x14ac:dyDescent="0.2">
      <c r="B10" s="734" t="s">
        <v>85</v>
      </c>
      <c r="C10" s="1994" t="s">
        <v>522</v>
      </c>
      <c r="D10" s="1992"/>
      <c r="E10" s="1992"/>
      <c r="F10" s="1992"/>
      <c r="G10" s="1992"/>
      <c r="I10" s="789" t="s">
        <v>85</v>
      </c>
      <c r="J10" s="1994" t="s">
        <v>522</v>
      </c>
      <c r="K10" s="1992"/>
      <c r="L10" s="1992"/>
      <c r="M10" s="1992"/>
      <c r="N10" s="1992"/>
    </row>
    <row r="11" spans="1:14" ht="35.25" customHeight="1" thickBot="1" x14ac:dyDescent="0.3">
      <c r="B11" s="147" t="s">
        <v>7</v>
      </c>
      <c r="C11" s="147" t="s">
        <v>53</v>
      </c>
      <c r="D11" s="149" t="s">
        <v>86</v>
      </c>
      <c r="E11"/>
      <c r="F11"/>
      <c r="G11"/>
      <c r="I11" s="147" t="s">
        <v>7</v>
      </c>
      <c r="J11" s="147" t="s">
        <v>53</v>
      </c>
      <c r="K11" s="149" t="s">
        <v>86</v>
      </c>
      <c r="L11" s="574"/>
      <c r="M11" s="574"/>
      <c r="N11" s="574"/>
    </row>
    <row r="12" spans="1:14" ht="15.75" thickTop="1" x14ac:dyDescent="0.25">
      <c r="B12" s="148">
        <v>1995</v>
      </c>
      <c r="C12" s="730">
        <v>149</v>
      </c>
      <c r="D12"/>
      <c r="E12"/>
      <c r="F12"/>
      <c r="G12"/>
      <c r="I12" s="148">
        <v>1995</v>
      </c>
      <c r="J12" s="730">
        <v>152.38333333333335</v>
      </c>
      <c r="K12" s="574"/>
      <c r="L12" s="574"/>
      <c r="M12" s="574"/>
      <c r="N12" s="574"/>
    </row>
    <row r="13" spans="1:14" ht="15" x14ac:dyDescent="0.25">
      <c r="B13" s="148">
        <v>1996</v>
      </c>
      <c r="C13" s="730">
        <v>153.6</v>
      </c>
      <c r="D13"/>
      <c r="E13"/>
      <c r="F13"/>
      <c r="G13"/>
      <c r="I13" s="148">
        <v>1996</v>
      </c>
      <c r="J13" s="730">
        <v>156.85833333333332</v>
      </c>
      <c r="K13" s="574"/>
      <c r="L13" s="574"/>
      <c r="M13" s="574"/>
      <c r="N13" s="574"/>
    </row>
    <row r="14" spans="1:14" ht="15" x14ac:dyDescent="0.25">
      <c r="B14" s="148">
        <v>1997</v>
      </c>
      <c r="C14" s="730">
        <v>156.9</v>
      </c>
      <c r="D14"/>
      <c r="E14"/>
      <c r="F14"/>
      <c r="G14"/>
      <c r="I14" s="148">
        <v>1997</v>
      </c>
      <c r="J14" s="730">
        <v>160.52500000000001</v>
      </c>
      <c r="K14" s="574"/>
      <c r="L14" s="574"/>
      <c r="M14" s="574"/>
      <c r="N14" s="574"/>
    </row>
    <row r="15" spans="1:14" ht="15" x14ac:dyDescent="0.25">
      <c r="B15" s="148">
        <v>1998</v>
      </c>
      <c r="C15" s="730">
        <v>158.9</v>
      </c>
      <c r="D15"/>
      <c r="E15"/>
      <c r="F15"/>
      <c r="G15"/>
      <c r="I15" s="148">
        <v>1998</v>
      </c>
      <c r="J15" s="730">
        <v>163.00833333333335</v>
      </c>
      <c r="K15" s="574"/>
      <c r="L15" s="574"/>
      <c r="M15" s="574"/>
      <c r="N15" s="574"/>
    </row>
    <row r="16" spans="1:14" ht="15" x14ac:dyDescent="0.25">
      <c r="B16" s="148">
        <v>1999</v>
      </c>
      <c r="C16" s="730">
        <v>162</v>
      </c>
      <c r="D16"/>
      <c r="E16"/>
      <c r="F16"/>
      <c r="G16"/>
      <c r="I16" s="148">
        <v>1999</v>
      </c>
      <c r="J16" s="730">
        <v>166.58333333333331</v>
      </c>
      <c r="K16" s="574"/>
      <c r="L16" s="574"/>
      <c r="M16" s="574"/>
      <c r="N16" s="574"/>
    </row>
    <row r="17" spans="2:14" ht="15" x14ac:dyDescent="0.25">
      <c r="B17" s="148">
        <v>2000</v>
      </c>
      <c r="C17" s="731">
        <v>167.2</v>
      </c>
      <c r="D17"/>
      <c r="E17"/>
      <c r="F17"/>
      <c r="G17"/>
      <c r="I17" s="148">
        <v>2000</v>
      </c>
      <c r="J17" s="731">
        <v>172.19166666666669</v>
      </c>
      <c r="K17" s="574"/>
      <c r="L17" s="574"/>
      <c r="M17" s="574"/>
      <c r="N17" s="574"/>
    </row>
    <row r="18" spans="2:14" ht="15" x14ac:dyDescent="0.25">
      <c r="B18" s="148">
        <v>2001</v>
      </c>
      <c r="C18" s="730">
        <v>171.1</v>
      </c>
      <c r="D18"/>
      <c r="E18"/>
      <c r="F18"/>
      <c r="G18"/>
      <c r="I18" s="148">
        <v>2001</v>
      </c>
      <c r="J18" s="730">
        <v>177.04166666666666</v>
      </c>
      <c r="K18" s="574"/>
      <c r="L18" s="574"/>
      <c r="M18" s="574"/>
      <c r="N18" s="574"/>
    </row>
    <row r="19" spans="2:14" ht="15" x14ac:dyDescent="0.25">
      <c r="B19" s="148">
        <v>2002</v>
      </c>
      <c r="C19" s="730">
        <v>173.3</v>
      </c>
      <c r="D19"/>
      <c r="E19"/>
      <c r="F19"/>
      <c r="G19"/>
      <c r="I19" s="148">
        <v>2002</v>
      </c>
      <c r="J19" s="730">
        <v>179.86666666666667</v>
      </c>
      <c r="K19" s="574"/>
      <c r="L19" s="574"/>
      <c r="M19" s="574"/>
      <c r="N19" s="574"/>
    </row>
    <row r="20" spans="2:14" ht="15" x14ac:dyDescent="0.25">
      <c r="B20" s="148">
        <v>2003</v>
      </c>
      <c r="C20" s="730">
        <v>177.3</v>
      </c>
      <c r="D20"/>
      <c r="E20"/>
      <c r="F20"/>
      <c r="G20"/>
      <c r="I20" s="148">
        <v>2003</v>
      </c>
      <c r="J20" s="730">
        <v>184</v>
      </c>
      <c r="K20" s="574"/>
      <c r="L20" s="574"/>
      <c r="M20" s="574"/>
      <c r="N20" s="574"/>
    </row>
    <row r="21" spans="2:14" ht="15" x14ac:dyDescent="0.25">
      <c r="B21" s="148">
        <v>2004</v>
      </c>
      <c r="C21" s="730">
        <v>181.8</v>
      </c>
      <c r="D21"/>
      <c r="E21"/>
      <c r="F21"/>
      <c r="G21"/>
      <c r="I21" s="148">
        <v>2004</v>
      </c>
      <c r="J21" s="730">
        <v>188.9083333333333</v>
      </c>
      <c r="K21" s="574"/>
      <c r="L21" s="574"/>
      <c r="M21" s="574"/>
      <c r="N21" s="574"/>
    </row>
    <row r="22" spans="2:14" ht="15" x14ac:dyDescent="0.25">
      <c r="B22" s="148">
        <v>2005</v>
      </c>
      <c r="C22" s="730">
        <v>188.3</v>
      </c>
      <c r="D22" s="150">
        <f>(C22-C21)/C21</f>
        <v>3.5753575357535754E-2</v>
      </c>
      <c r="E22"/>
      <c r="F22"/>
      <c r="G22"/>
      <c r="I22" s="148">
        <v>2005</v>
      </c>
      <c r="J22" s="730">
        <v>195.26666666666665</v>
      </c>
      <c r="K22" s="150">
        <f>(J22-J21)/J21</f>
        <v>3.36582998808947E-2</v>
      </c>
      <c r="L22" s="574"/>
      <c r="M22" s="574"/>
      <c r="N22" s="574"/>
    </row>
    <row r="23" spans="2:14" ht="15" x14ac:dyDescent="0.25">
      <c r="B23" s="148">
        <v>2006</v>
      </c>
      <c r="C23" s="730">
        <v>194.7</v>
      </c>
      <c r="D23" s="150">
        <f>(C23-C22)/C22</f>
        <v>3.3988316516197437E-2</v>
      </c>
      <c r="E23"/>
      <c r="F23"/>
      <c r="G23"/>
      <c r="I23" s="148">
        <v>2006</v>
      </c>
      <c r="J23" s="730">
        <v>201.55833333333337</v>
      </c>
      <c r="K23" s="150">
        <f>(J23-J22)/J22</f>
        <v>3.2220894503243676E-2</v>
      </c>
      <c r="L23" s="574"/>
      <c r="M23" s="574"/>
      <c r="N23" s="574"/>
    </row>
    <row r="24" spans="2:14" ht="15" x14ac:dyDescent="0.25">
      <c r="B24" s="148">
        <v>2007</v>
      </c>
      <c r="C24" s="732">
        <v>200.36099999999999</v>
      </c>
      <c r="D24" s="150">
        <f t="shared" ref="D24:D33" si="0">(C24-C23)/C23</f>
        <v>2.9075500770416034E-2</v>
      </c>
      <c r="E24"/>
      <c r="F24"/>
      <c r="G24"/>
      <c r="I24" s="148">
        <v>2007</v>
      </c>
      <c r="J24" s="732">
        <v>207.34416666666667</v>
      </c>
      <c r="K24" s="150">
        <f t="shared" ref="K24:K33" si="1">(J24-J23)/J23</f>
        <v>2.8705502956133295E-2</v>
      </c>
      <c r="L24" s="574"/>
      <c r="M24" s="574"/>
      <c r="N24" s="574"/>
    </row>
    <row r="25" spans="2:14" ht="15" x14ac:dyDescent="0.25">
      <c r="B25" s="148">
        <v>2008</v>
      </c>
      <c r="C25" s="732">
        <v>208.68100000000001</v>
      </c>
      <c r="D25" s="150">
        <f t="shared" si="0"/>
        <v>4.1525047289642306E-2</v>
      </c>
      <c r="E25"/>
      <c r="F25"/>
      <c r="G25"/>
      <c r="I25" s="148">
        <v>2008</v>
      </c>
      <c r="J25" s="732">
        <v>215.25424999999998</v>
      </c>
      <c r="K25" s="150">
        <f t="shared" si="1"/>
        <v>3.8149533987371968E-2</v>
      </c>
      <c r="L25" s="574"/>
      <c r="M25" s="574"/>
      <c r="N25" s="574"/>
    </row>
    <row r="26" spans="2:14" ht="15" x14ac:dyDescent="0.25">
      <c r="B26" s="148">
        <v>2009</v>
      </c>
      <c r="C26" s="732">
        <v>207.845</v>
      </c>
      <c r="D26" s="150">
        <f t="shared" si="0"/>
        <v>-4.0061145959623193E-3</v>
      </c>
      <c r="E26"/>
      <c r="F26"/>
      <c r="G26"/>
      <c r="I26" s="148">
        <v>2009</v>
      </c>
      <c r="J26" s="732">
        <v>214.56466666666668</v>
      </c>
      <c r="K26" s="150">
        <f t="shared" si="1"/>
        <v>-3.2035759262978689E-3</v>
      </c>
      <c r="L26" s="574"/>
      <c r="M26" s="574"/>
      <c r="N26" s="574"/>
    </row>
    <row r="27" spans="2:14" ht="15" x14ac:dyDescent="0.25">
      <c r="B27" s="148">
        <v>2010</v>
      </c>
      <c r="C27" s="733">
        <v>211.33799999999999</v>
      </c>
      <c r="D27" s="150">
        <f t="shared" si="0"/>
        <v>1.6805792778272245E-2</v>
      </c>
      <c r="E27"/>
      <c r="F27"/>
      <c r="G27"/>
      <c r="I27" s="148">
        <v>2010</v>
      </c>
      <c r="J27" s="733">
        <v>218.07616666666672</v>
      </c>
      <c r="K27" s="150">
        <f t="shared" si="1"/>
        <v>1.6365695501278747E-2</v>
      </c>
      <c r="L27" s="574"/>
      <c r="M27" s="574"/>
      <c r="N27" s="574"/>
    </row>
    <row r="28" spans="2:14" ht="15" x14ac:dyDescent="0.25">
      <c r="B28" s="148">
        <v>2011</v>
      </c>
      <c r="C28" s="732">
        <v>218.61799999999999</v>
      </c>
      <c r="D28" s="150">
        <f t="shared" si="0"/>
        <v>3.4447188863337412E-2</v>
      </c>
      <c r="E28"/>
      <c r="F28"/>
      <c r="G28"/>
      <c r="I28" s="148">
        <v>2011</v>
      </c>
      <c r="J28" s="732">
        <v>224.923</v>
      </c>
      <c r="K28" s="150">
        <f t="shared" si="1"/>
        <v>3.1396522774534939E-2</v>
      </c>
      <c r="L28" s="574"/>
      <c r="M28" s="574"/>
      <c r="N28" s="574"/>
    </row>
    <row r="29" spans="2:14" ht="15" x14ac:dyDescent="0.25">
      <c r="B29" s="148">
        <v>2012</v>
      </c>
      <c r="C29" s="732">
        <v>223.24199999999999</v>
      </c>
      <c r="D29" s="150">
        <f t="shared" si="0"/>
        <v>2.1151048861484393E-2</v>
      </c>
      <c r="E29"/>
      <c r="F29"/>
      <c r="G29"/>
      <c r="I29" s="148">
        <v>2012</v>
      </c>
      <c r="J29" s="732">
        <v>229.58608333333328</v>
      </c>
      <c r="K29" s="150">
        <f t="shared" si="1"/>
        <v>2.0731909735034994E-2</v>
      </c>
      <c r="L29" s="574"/>
      <c r="M29" s="574"/>
      <c r="N29" s="574"/>
    </row>
    <row r="30" spans="2:14" ht="15" x14ac:dyDescent="0.25">
      <c r="B30" s="148">
        <v>2013</v>
      </c>
      <c r="C30" s="732">
        <v>226.721</v>
      </c>
      <c r="D30" s="150">
        <f t="shared" si="0"/>
        <v>1.5583985092410987E-2</v>
      </c>
      <c r="E30"/>
      <c r="F30"/>
      <c r="G30"/>
      <c r="I30" s="148">
        <v>2013</v>
      </c>
      <c r="J30" s="732">
        <v>232.94891666666663</v>
      </c>
      <c r="K30" s="150">
        <f t="shared" si="1"/>
        <v>1.4647374459761563E-2</v>
      </c>
      <c r="L30" s="574"/>
      <c r="M30" s="574"/>
      <c r="N30" s="574"/>
    </row>
    <row r="31" spans="2:14" ht="15" x14ac:dyDescent="0.25">
      <c r="B31" s="148">
        <v>2014</v>
      </c>
      <c r="C31" s="732">
        <v>230.55199999999999</v>
      </c>
      <c r="D31" s="150">
        <f t="shared" si="0"/>
        <v>1.6897420177222174E-2</v>
      </c>
      <c r="E31"/>
      <c r="F31"/>
      <c r="G31"/>
      <c r="I31" s="148">
        <v>2014</v>
      </c>
      <c r="J31" s="732">
        <v>236.70391666666669</v>
      </c>
      <c r="K31" s="150">
        <f t="shared" si="1"/>
        <v>1.6119413877220091E-2</v>
      </c>
      <c r="L31" s="574"/>
      <c r="M31" s="574"/>
      <c r="N31" s="574"/>
    </row>
    <row r="32" spans="2:14" ht="15" x14ac:dyDescent="0.25">
      <c r="B32" s="148">
        <v>2015</v>
      </c>
      <c r="C32" s="732">
        <v>230.14699999999999</v>
      </c>
      <c r="D32" s="150">
        <f t="shared" si="0"/>
        <v>-1.756653596585591E-3</v>
      </c>
      <c r="E32"/>
      <c r="F32"/>
      <c r="G32"/>
      <c r="I32" s="148">
        <v>2015</v>
      </c>
      <c r="J32" s="732">
        <v>236.98724999999999</v>
      </c>
      <c r="K32" s="150">
        <f t="shared" si="1"/>
        <v>1.1969946983695298E-3</v>
      </c>
      <c r="L32" s="574"/>
      <c r="M32" s="574"/>
      <c r="N32" s="574"/>
    </row>
    <row r="33" spans="2:48" ht="15" x14ac:dyDescent="0.25">
      <c r="B33" s="148">
        <v>2016</v>
      </c>
      <c r="C33" s="732">
        <v>232.69200000000001</v>
      </c>
      <c r="D33" s="150">
        <f t="shared" si="0"/>
        <v>1.1058149791220464E-2</v>
      </c>
      <c r="E33" s="574"/>
      <c r="F33" s="574"/>
      <c r="G33" s="574"/>
      <c r="I33" s="148">
        <v>2016</v>
      </c>
      <c r="J33" s="732">
        <v>240.00924999999998</v>
      </c>
      <c r="K33" s="150">
        <f t="shared" si="1"/>
        <v>1.2751740863696218E-2</v>
      </c>
      <c r="L33" s="574"/>
      <c r="M33" s="574"/>
      <c r="N33" s="574"/>
    </row>
    <row r="34" spans="2:48" ht="15" x14ac:dyDescent="0.25">
      <c r="D34" s="151">
        <f>AVERAGE(D23:D33)</f>
        <v>1.9524516540695959E-2</v>
      </c>
      <c r="E34" s="15" t="s">
        <v>559</v>
      </c>
      <c r="K34" s="151">
        <f>AVERAGE(K23:K33)</f>
        <v>1.9007455220940651E-2</v>
      </c>
      <c r="L34" s="15" t="s">
        <v>559</v>
      </c>
    </row>
    <row r="35" spans="2:48" ht="12.75" x14ac:dyDescent="0.25">
      <c r="D35" s="1706">
        <f>(C33/C17)^(1/(16))-1</f>
        <v>2.0872661362898226E-2</v>
      </c>
    </row>
    <row r="36" spans="2:48" s="152" customFormat="1" ht="15" x14ac:dyDescent="0.25">
      <c r="B36"/>
      <c r="C36"/>
      <c r="D36"/>
      <c r="E36"/>
      <c r="M36" s="153"/>
      <c r="N36" s="153"/>
      <c r="O36" s="153"/>
      <c r="P36" s="153"/>
      <c r="Q36" s="153"/>
      <c r="R36" s="153"/>
      <c r="S36" s="153"/>
      <c r="T36" s="153"/>
      <c r="U36" s="153"/>
      <c r="V36" s="153"/>
      <c r="W36" s="153"/>
      <c r="X36" s="379"/>
      <c r="Y36" s="380"/>
      <c r="Z36" s="380"/>
      <c r="AA36" s="380"/>
      <c r="AB36" s="380"/>
      <c r="AC36" s="380"/>
      <c r="AD36" s="380"/>
      <c r="AE36" s="380"/>
      <c r="AF36" s="380"/>
      <c r="AG36" s="380"/>
      <c r="AH36" s="380"/>
      <c r="AI36" s="380"/>
      <c r="AJ36" s="380"/>
      <c r="AK36" s="380"/>
      <c r="AL36" s="380"/>
      <c r="AM36" s="380"/>
      <c r="AN36" s="380"/>
      <c r="AO36" s="380"/>
      <c r="AP36" s="380"/>
      <c r="AQ36" s="380"/>
      <c r="AR36" s="380"/>
      <c r="AS36" s="380"/>
      <c r="AT36" s="380"/>
      <c r="AU36" s="380"/>
      <c r="AV36" s="380"/>
    </row>
    <row r="37" spans="2:48" ht="13.5" thickBot="1" x14ac:dyDescent="0.3">
      <c r="C37" s="154" t="s">
        <v>88</v>
      </c>
      <c r="X37" s="381"/>
      <c r="Y37" s="382"/>
      <c r="Z37" s="382"/>
      <c r="AA37" s="382"/>
      <c r="AB37" s="382"/>
      <c r="AC37" s="382"/>
      <c r="AD37" s="382"/>
      <c r="AE37" s="382"/>
      <c r="AF37" s="382"/>
      <c r="AG37" s="382"/>
      <c r="AH37" s="382"/>
      <c r="AI37" s="382"/>
      <c r="AJ37" s="382"/>
      <c r="AK37" s="382"/>
      <c r="AL37" s="382"/>
      <c r="AM37" s="382"/>
      <c r="AN37" s="382"/>
      <c r="AO37" s="382"/>
      <c r="AP37" s="382"/>
      <c r="AQ37" s="382"/>
      <c r="AR37" s="382"/>
      <c r="AS37" s="382"/>
      <c r="AT37" s="382"/>
      <c r="AU37" s="382"/>
      <c r="AV37" s="382"/>
    </row>
    <row r="38" spans="2:48" s="154" customFormat="1" ht="12.75" x14ac:dyDescent="0.25">
      <c r="B38" s="154" t="s">
        <v>7</v>
      </c>
      <c r="C38" s="159">
        <v>1995</v>
      </c>
      <c r="D38" s="160">
        <v>1996</v>
      </c>
      <c r="E38" s="160">
        <v>1997</v>
      </c>
      <c r="F38" s="160">
        <v>1998</v>
      </c>
      <c r="G38" s="160">
        <v>1999</v>
      </c>
      <c r="H38" s="160">
        <v>2000</v>
      </c>
      <c r="I38" s="160">
        <v>2001</v>
      </c>
      <c r="J38" s="160">
        <v>2002</v>
      </c>
      <c r="K38" s="160">
        <v>2003</v>
      </c>
      <c r="L38" s="160">
        <v>2004</v>
      </c>
      <c r="M38" s="160">
        <v>2005</v>
      </c>
      <c r="N38" s="160">
        <v>2006</v>
      </c>
      <c r="O38" s="160">
        <v>2007</v>
      </c>
      <c r="P38" s="160">
        <v>2008</v>
      </c>
      <c r="Q38" s="160">
        <v>2009</v>
      </c>
      <c r="R38" s="160">
        <v>2010</v>
      </c>
      <c r="S38" s="160">
        <v>2011</v>
      </c>
      <c r="T38" s="160">
        <v>2012</v>
      </c>
      <c r="U38" s="160">
        <v>2013</v>
      </c>
      <c r="V38" s="160">
        <v>2014</v>
      </c>
      <c r="W38" s="161">
        <v>2015</v>
      </c>
      <c r="X38" s="381">
        <v>2016</v>
      </c>
      <c r="Y38" s="381"/>
      <c r="Z38" s="381"/>
      <c r="AA38" s="381"/>
      <c r="AB38" s="381"/>
      <c r="AC38" s="381"/>
      <c r="AD38" s="381"/>
      <c r="AE38" s="381"/>
      <c r="AF38" s="381"/>
      <c r="AG38" s="381"/>
      <c r="AH38" s="381"/>
      <c r="AI38" s="381"/>
      <c r="AJ38" s="381"/>
      <c r="AK38" s="381"/>
      <c r="AL38" s="381"/>
      <c r="AM38" s="381"/>
      <c r="AN38" s="381"/>
      <c r="AO38" s="381"/>
      <c r="AP38" s="381"/>
      <c r="AQ38" s="381"/>
      <c r="AR38" s="381"/>
      <c r="AS38" s="381"/>
      <c r="AT38" s="381"/>
      <c r="AU38" s="381"/>
      <c r="AV38" s="381"/>
    </row>
    <row r="39" spans="2:48" ht="13.5" thickBot="1" x14ac:dyDescent="0.3">
      <c r="B39" s="154" t="s">
        <v>53</v>
      </c>
      <c r="C39" s="162">
        <v>152.4</v>
      </c>
      <c r="D39" s="163">
        <v>156.9</v>
      </c>
      <c r="E39" s="163">
        <v>160.5</v>
      </c>
      <c r="F39" s="163">
        <v>163</v>
      </c>
      <c r="G39" s="163">
        <v>166.6</v>
      </c>
      <c r="H39" s="163">
        <v>172.2</v>
      </c>
      <c r="I39" s="163">
        <v>177.1</v>
      </c>
      <c r="J39" s="163">
        <v>179.9</v>
      </c>
      <c r="K39" s="163">
        <v>184</v>
      </c>
      <c r="L39" s="163">
        <v>188.9</v>
      </c>
      <c r="M39" s="163">
        <v>195.3</v>
      </c>
      <c r="N39" s="163">
        <v>201.6</v>
      </c>
      <c r="O39" s="164">
        <v>207.34200000000001</v>
      </c>
      <c r="P39" s="164">
        <v>215.303</v>
      </c>
      <c r="Q39" s="164">
        <v>214.53700000000001</v>
      </c>
      <c r="R39" s="164">
        <v>218.05600000000001</v>
      </c>
      <c r="S39" s="164">
        <v>224.93899999999999</v>
      </c>
      <c r="T39" s="164">
        <v>229.59399999999999</v>
      </c>
      <c r="U39" s="164">
        <v>232.95699999999999</v>
      </c>
      <c r="V39" s="164">
        <v>236.73599999999999</v>
      </c>
      <c r="W39" s="386">
        <v>237.017</v>
      </c>
      <c r="X39" s="383"/>
      <c r="Y39" s="383"/>
      <c r="Z39" s="383"/>
      <c r="AA39" s="383"/>
      <c r="AB39" s="383"/>
      <c r="AC39" s="383"/>
      <c r="AD39" s="383"/>
      <c r="AE39" s="383"/>
      <c r="AF39" s="383"/>
      <c r="AG39" s="383"/>
      <c r="AH39" s="383"/>
      <c r="AI39" s="383"/>
      <c r="AJ39" s="383"/>
      <c r="AK39" s="383"/>
      <c r="AL39" s="383"/>
      <c r="AM39" s="383"/>
      <c r="AN39" s="383"/>
      <c r="AO39" s="383"/>
      <c r="AP39" s="383"/>
      <c r="AQ39" s="383"/>
      <c r="AR39" s="383"/>
      <c r="AS39" s="383"/>
      <c r="AT39" s="383"/>
      <c r="AU39" s="383"/>
      <c r="AV39" s="383"/>
    </row>
    <row r="40" spans="2:48" s="157" customFormat="1" ht="25.5" x14ac:dyDescent="0.25">
      <c r="B40" s="155" t="s">
        <v>86</v>
      </c>
      <c r="M40" s="156">
        <f>(M39-L39)/L39</f>
        <v>3.3880359978824805E-2</v>
      </c>
      <c r="N40" s="156">
        <f>(N39-M39)/M39</f>
        <v>3.2258064516128941E-2</v>
      </c>
      <c r="O40" s="156">
        <f t="shared" ref="O40:W40" si="2">(O39-N39)/N39</f>
        <v>2.8482142857142949E-2</v>
      </c>
      <c r="P40" s="156">
        <f t="shared" si="2"/>
        <v>3.8395501152684856E-2</v>
      </c>
      <c r="Q40" s="156">
        <f t="shared" si="2"/>
        <v>-3.5577767146764846E-3</v>
      </c>
      <c r="R40" s="156">
        <f t="shared" si="2"/>
        <v>1.6402765024214963E-2</v>
      </c>
      <c r="S40" s="156">
        <f t="shared" si="2"/>
        <v>3.1565285981582626E-2</v>
      </c>
      <c r="T40" s="156">
        <f t="shared" si="2"/>
        <v>2.0694499397614471E-2</v>
      </c>
      <c r="U40" s="156">
        <f t="shared" si="2"/>
        <v>1.4647595320435202E-2</v>
      </c>
      <c r="V40" s="156">
        <f t="shared" si="2"/>
        <v>1.6221877857286952E-2</v>
      </c>
      <c r="W40" s="156">
        <f t="shared" si="2"/>
        <v>1.1869762097864538E-3</v>
      </c>
      <c r="X40" s="384"/>
      <c r="Y40" s="385"/>
      <c r="Z40" s="385"/>
      <c r="AA40" s="385"/>
      <c r="AB40" s="385"/>
      <c r="AC40" s="385"/>
      <c r="AD40" s="385"/>
      <c r="AE40" s="385"/>
      <c r="AF40" s="385"/>
      <c r="AG40" s="385"/>
      <c r="AH40" s="385"/>
      <c r="AI40" s="385"/>
      <c r="AJ40" s="385"/>
      <c r="AK40" s="385"/>
      <c r="AL40" s="385"/>
      <c r="AM40" s="385"/>
      <c r="AN40" s="385"/>
      <c r="AO40" s="385"/>
      <c r="AP40" s="385"/>
      <c r="AQ40" s="385"/>
      <c r="AR40" s="385"/>
      <c r="AS40" s="385"/>
      <c r="AT40" s="385"/>
      <c r="AU40" s="385"/>
      <c r="AV40" s="385"/>
    </row>
    <row r="41" spans="2:48" ht="12.75" x14ac:dyDescent="0.25">
      <c r="V41" s="158"/>
      <c r="W41" s="158"/>
      <c r="X41" s="382"/>
      <c r="Y41" s="382"/>
      <c r="Z41" s="382"/>
      <c r="AA41" s="382"/>
      <c r="AB41" s="382"/>
      <c r="AC41" s="382"/>
      <c r="AD41" s="382"/>
      <c r="AE41" s="382"/>
      <c r="AF41" s="382"/>
      <c r="AG41" s="382"/>
      <c r="AH41" s="382"/>
      <c r="AI41" s="382"/>
      <c r="AJ41" s="382"/>
      <c r="AK41" s="382"/>
      <c r="AL41" s="382"/>
      <c r="AM41" s="382"/>
      <c r="AN41" s="382"/>
      <c r="AO41" s="382"/>
      <c r="AP41" s="382"/>
      <c r="AQ41" s="382"/>
      <c r="AR41" s="382"/>
      <c r="AS41" s="382"/>
      <c r="AT41" s="382"/>
      <c r="AU41" s="382"/>
      <c r="AV41" s="382"/>
    </row>
    <row r="42" spans="2:48" ht="12.75" x14ac:dyDescent="0.25">
      <c r="B42" s="16" t="s">
        <v>63</v>
      </c>
      <c r="C42" s="14"/>
      <c r="D42" s="14"/>
      <c r="E42" s="14"/>
      <c r="F42" s="14"/>
      <c r="V42" s="158"/>
      <c r="W42" s="158"/>
      <c r="X42" s="382"/>
      <c r="Y42" s="382"/>
      <c r="Z42" s="382"/>
      <c r="AA42" s="382"/>
      <c r="AB42" s="382"/>
      <c r="AC42" s="382"/>
      <c r="AD42" s="382"/>
      <c r="AE42" s="382"/>
      <c r="AF42" s="382"/>
      <c r="AG42" s="382"/>
      <c r="AH42" s="382"/>
      <c r="AI42" s="382"/>
      <c r="AJ42" s="382"/>
      <c r="AK42" s="382"/>
      <c r="AL42" s="382"/>
      <c r="AM42" s="382"/>
      <c r="AN42" s="382"/>
      <c r="AO42" s="382"/>
      <c r="AP42" s="382"/>
      <c r="AQ42" s="382"/>
      <c r="AR42" s="382"/>
      <c r="AS42" s="382"/>
      <c r="AT42" s="382"/>
      <c r="AU42" s="382"/>
      <c r="AV42" s="382"/>
    </row>
    <row r="43" spans="2:48" x14ac:dyDescent="0.3">
      <c r="B43" s="16" t="s">
        <v>523</v>
      </c>
      <c r="C43" s="14"/>
      <c r="D43" s="14"/>
      <c r="E43" s="14"/>
      <c r="F43" s="14"/>
      <c r="V43" s="158"/>
      <c r="W43" s="158"/>
      <c r="X43" s="382"/>
      <c r="Y43" s="382"/>
      <c r="Z43" s="382"/>
      <c r="AA43" s="382"/>
      <c r="AB43" s="382"/>
      <c r="AC43" s="382"/>
      <c r="AD43" s="382"/>
      <c r="AE43" s="382"/>
      <c r="AF43" s="382"/>
      <c r="AG43" s="382"/>
      <c r="AH43" s="382"/>
      <c r="AI43" s="382"/>
      <c r="AJ43" s="382"/>
      <c r="AK43" s="382"/>
      <c r="AL43" s="382"/>
      <c r="AM43" s="382"/>
      <c r="AN43" s="382"/>
      <c r="AO43" s="382"/>
      <c r="AP43" s="382"/>
      <c r="AQ43" s="382"/>
      <c r="AR43" s="382"/>
      <c r="AS43" s="382"/>
      <c r="AT43" s="382"/>
      <c r="AU43" s="382"/>
      <c r="AV43" s="382"/>
    </row>
    <row r="44" spans="2:48" x14ac:dyDescent="0.3">
      <c r="B44" s="15" t="s">
        <v>90</v>
      </c>
      <c r="X44" s="382"/>
      <c r="Y44" s="382"/>
      <c r="Z44" s="382"/>
      <c r="AA44" s="382"/>
      <c r="AB44" s="382"/>
      <c r="AC44" s="382"/>
      <c r="AD44" s="382"/>
      <c r="AE44" s="382"/>
      <c r="AF44" s="382"/>
      <c r="AG44" s="382"/>
      <c r="AH44" s="382"/>
      <c r="AI44" s="382"/>
      <c r="AJ44" s="382"/>
      <c r="AK44" s="382"/>
      <c r="AL44" s="382"/>
      <c r="AM44" s="382"/>
      <c r="AN44" s="382"/>
      <c r="AO44" s="382"/>
      <c r="AP44" s="382"/>
      <c r="AQ44" s="382"/>
      <c r="AR44" s="382"/>
      <c r="AS44" s="382"/>
      <c r="AT44" s="382"/>
      <c r="AU44" s="382"/>
      <c r="AV44" s="382"/>
    </row>
    <row r="45" spans="2:48" ht="14.4" x14ac:dyDescent="0.3">
      <c r="B45" s="706" t="s">
        <v>87</v>
      </c>
    </row>
  </sheetData>
  <mergeCells count="16">
    <mergeCell ref="J10:N10"/>
    <mergeCell ref="J5:N5"/>
    <mergeCell ref="I6:N6"/>
    <mergeCell ref="J7:N7"/>
    <mergeCell ref="J8:N8"/>
    <mergeCell ref="J9:N9"/>
    <mergeCell ref="C10:G10"/>
    <mergeCell ref="B4:G4"/>
    <mergeCell ref="B6:G6"/>
    <mergeCell ref="C7:G7"/>
    <mergeCell ref="C9:G9"/>
    <mergeCell ref="B1:I1"/>
    <mergeCell ref="B2:G2"/>
    <mergeCell ref="B3:G3"/>
    <mergeCell ref="C5:G5"/>
    <mergeCell ref="C8:G8"/>
  </mergeCells>
  <hyperlinks>
    <hyperlink ref="B45" r:id="rId1"/>
  </hyperlink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78"/>
  <sheetViews>
    <sheetView topLeftCell="A13" workbookViewId="0"/>
  </sheetViews>
  <sheetFormatPr defaultColWidth="15.6640625" defaultRowHeight="14.4" x14ac:dyDescent="0.3"/>
  <cols>
    <col min="1" max="1" width="36.44140625" style="574" customWidth="1"/>
    <col min="2" max="3" width="18" bestFit="1" customWidth="1"/>
    <col min="4" max="4" width="15.88671875" bestFit="1" customWidth="1"/>
    <col min="5" max="5" width="16.33203125" bestFit="1" customWidth="1"/>
    <col min="6" max="7" width="15.88671875" bestFit="1" customWidth="1"/>
    <col min="9" max="10" width="15.6640625" style="574"/>
  </cols>
  <sheetData>
    <row r="1" spans="1:16" ht="18.75" x14ac:dyDescent="0.25">
      <c r="B1" s="1996" t="s">
        <v>657</v>
      </c>
      <c r="C1" s="1996"/>
      <c r="D1" s="1996"/>
      <c r="E1" s="1996"/>
      <c r="F1" s="1996"/>
      <c r="G1" s="1996"/>
      <c r="H1" s="1996"/>
      <c r="I1" s="1996"/>
      <c r="J1" s="1996"/>
      <c r="K1" s="1996"/>
    </row>
    <row r="3" spans="1:16" s="876" customFormat="1" ht="45" x14ac:dyDescent="0.25">
      <c r="B3" s="890" t="s">
        <v>7</v>
      </c>
      <c r="C3" s="890" t="s">
        <v>646</v>
      </c>
      <c r="D3" s="890" t="s">
        <v>647</v>
      </c>
      <c r="E3" s="890" t="s">
        <v>648</v>
      </c>
      <c r="F3" s="890" t="s">
        <v>649</v>
      </c>
      <c r="G3" s="890" t="s">
        <v>650</v>
      </c>
      <c r="H3" s="890" t="s">
        <v>651</v>
      </c>
      <c r="I3" s="890" t="s">
        <v>687</v>
      </c>
      <c r="J3" s="890" t="s">
        <v>973</v>
      </c>
      <c r="K3" s="890" t="s">
        <v>652</v>
      </c>
      <c r="L3" s="890" t="s">
        <v>661</v>
      </c>
      <c r="M3" s="890" t="s">
        <v>662</v>
      </c>
      <c r="N3" s="890" t="s">
        <v>663</v>
      </c>
      <c r="O3" s="890" t="s">
        <v>724</v>
      </c>
      <c r="P3" s="890" t="s">
        <v>725</v>
      </c>
    </row>
    <row r="4" spans="1:16" x14ac:dyDescent="0.3">
      <c r="A4" s="1997" t="s">
        <v>686</v>
      </c>
      <c r="B4" s="882">
        <v>2000</v>
      </c>
      <c r="C4" s="883">
        <v>961056723.36723828</v>
      </c>
      <c r="D4" s="883">
        <v>173205781.68720162</v>
      </c>
      <c r="E4" s="884">
        <v>10333.216247167235</v>
      </c>
      <c r="F4" s="883">
        <v>32039485.421229754</v>
      </c>
      <c r="G4" s="883">
        <v>16463073.839825997</v>
      </c>
      <c r="H4" s="884">
        <v>4475655.0318966862</v>
      </c>
      <c r="I4" s="875"/>
      <c r="K4" s="888">
        <v>214.72984770230676</v>
      </c>
      <c r="L4" s="888">
        <f>D4/H4</f>
        <v>38.699537934182729</v>
      </c>
      <c r="M4" s="888">
        <f>F4/H4</f>
        <v>7.1586136985298685</v>
      </c>
      <c r="N4" s="888">
        <f>G4/H4</f>
        <v>3.678360758927683</v>
      </c>
      <c r="O4" s="997">
        <f>F4/C4</f>
        <v>3.3337767316140868E-2</v>
      </c>
      <c r="P4" s="997">
        <f>G4/C4</f>
        <v>1.7130179145040059E-2</v>
      </c>
    </row>
    <row r="5" spans="1:16" x14ac:dyDescent="0.3">
      <c r="A5" s="1997"/>
      <c r="B5" s="882">
        <v>2001</v>
      </c>
      <c r="C5" s="883">
        <v>953322355.00477922</v>
      </c>
      <c r="D5" s="883">
        <v>220698458.74130943</v>
      </c>
      <c r="E5" s="884">
        <v>12031.529020541797</v>
      </c>
      <c r="F5" s="883">
        <v>39607186.571156688</v>
      </c>
      <c r="G5" s="883">
        <v>17686869.578015201</v>
      </c>
      <c r="H5" s="884">
        <v>4368253.3965915339</v>
      </c>
      <c r="I5" s="875"/>
      <c r="K5" s="888">
        <v>218.23879442264928</v>
      </c>
      <c r="L5" s="888">
        <f t="shared" ref="L5:L44" si="0">D5/H5</f>
        <v>50.523272966150799</v>
      </c>
      <c r="M5" s="888">
        <f t="shared" ref="M5:M44" si="1">F5/H5</f>
        <v>9.0670533449505086</v>
      </c>
      <c r="N5" s="888">
        <f t="shared" ref="N5:N44" si="2">G5/H5</f>
        <v>4.0489568649602452</v>
      </c>
      <c r="O5" s="997">
        <f t="shared" ref="O5:O19" si="3">F5/C5</f>
        <v>4.1546478337810645E-2</v>
      </c>
      <c r="P5" s="997">
        <f t="shared" ref="P5:P19" si="4">G5/C5</f>
        <v>1.8552874046393816E-2</v>
      </c>
    </row>
    <row r="6" spans="1:16" x14ac:dyDescent="0.3">
      <c r="A6" s="1997"/>
      <c r="B6" s="882">
        <v>2002</v>
      </c>
      <c r="C6" s="883">
        <v>980015165.88601065</v>
      </c>
      <c r="D6" s="883">
        <v>226878072.18361118</v>
      </c>
      <c r="E6" s="884">
        <v>12055.593334112284</v>
      </c>
      <c r="F6" s="883">
        <v>40716340.449699923</v>
      </c>
      <c r="G6" s="883">
        <v>18181979.276074059</v>
      </c>
      <c r="H6" s="884">
        <v>4385640.1367331464</v>
      </c>
      <c r="I6" s="875"/>
      <c r="K6" s="888">
        <v>223.46000477276317</v>
      </c>
      <c r="L6" s="888">
        <f t="shared" si="0"/>
        <v>51.732031153977026</v>
      </c>
      <c r="M6" s="888">
        <f t="shared" si="1"/>
        <v>9.2840130927909268</v>
      </c>
      <c r="N6" s="888">
        <f t="shared" si="2"/>
        <v>4.1457982664345492</v>
      </c>
      <c r="O6" s="997">
        <f t="shared" si="3"/>
        <v>4.1546643222494579E-2</v>
      </c>
      <c r="P6" s="997">
        <f t="shared" si="4"/>
        <v>1.8552752966466721E-2</v>
      </c>
    </row>
    <row r="7" spans="1:16" x14ac:dyDescent="0.3">
      <c r="A7" s="1997"/>
      <c r="B7" s="882">
        <v>2003</v>
      </c>
      <c r="C7" s="883">
        <v>985895276.38666904</v>
      </c>
      <c r="D7" s="883">
        <v>228301133.6068278</v>
      </c>
      <c r="E7" s="884">
        <v>12091.794431918321</v>
      </c>
      <c r="F7" s="883">
        <v>40901786.087318398</v>
      </c>
      <c r="G7" s="883">
        <v>18666492.364019636</v>
      </c>
      <c r="H7" s="884">
        <v>4328638.0393068464</v>
      </c>
      <c r="I7" s="875"/>
      <c r="K7" s="888">
        <v>227.76108037542045</v>
      </c>
      <c r="L7" s="888">
        <f t="shared" si="0"/>
        <v>52.742024519884808</v>
      </c>
      <c r="M7" s="888">
        <f t="shared" si="1"/>
        <v>9.4491121031381233</v>
      </c>
      <c r="N7" s="888">
        <f t="shared" si="2"/>
        <v>4.3123246144666645</v>
      </c>
      <c r="O7" s="997">
        <f t="shared" si="3"/>
        <v>4.1486948022739771E-2</v>
      </c>
      <c r="P7" s="997">
        <f t="shared" si="4"/>
        <v>1.8933544780164482E-2</v>
      </c>
    </row>
    <row r="8" spans="1:16" x14ac:dyDescent="0.3">
      <c r="A8" s="1997"/>
      <c r="B8" s="882">
        <v>2004</v>
      </c>
      <c r="C8" s="883">
        <v>1063781108.5000507</v>
      </c>
      <c r="D8" s="883">
        <v>246336884.64399347</v>
      </c>
      <c r="E8" s="884">
        <v>12406.095292638945</v>
      </c>
      <c r="F8" s="883">
        <v>44133097.587159902</v>
      </c>
      <c r="G8" s="883">
        <v>20141224.84808293</v>
      </c>
      <c r="H8" s="884">
        <v>4553785.3198748203</v>
      </c>
      <c r="I8" s="875"/>
      <c r="K8" s="888">
        <v>233.60370192622366</v>
      </c>
      <c r="L8" s="888">
        <f t="shared" si="0"/>
        <v>54.094970961601028</v>
      </c>
      <c r="M8" s="888">
        <f t="shared" si="1"/>
        <v>9.6915191400311951</v>
      </c>
      <c r="N8" s="888">
        <f t="shared" si="2"/>
        <v>4.422963190683876</v>
      </c>
      <c r="O8" s="997">
        <f t="shared" si="3"/>
        <v>4.1487010094951128E-2</v>
      </c>
      <c r="P8" s="997">
        <f t="shared" si="4"/>
        <v>1.8933617721866105E-2</v>
      </c>
    </row>
    <row r="9" spans="1:16" x14ac:dyDescent="0.3">
      <c r="A9" s="1997"/>
      <c r="B9" s="882">
        <v>2005</v>
      </c>
      <c r="C9" s="883">
        <v>1158457539.3825147</v>
      </c>
      <c r="D9" s="883">
        <v>268260834.62409991</v>
      </c>
      <c r="E9" s="884">
        <v>12747.180780638026</v>
      </c>
      <c r="F9" s="883">
        <v>48060988.10542842</v>
      </c>
      <c r="G9" s="883">
        <v>21933630.175755031</v>
      </c>
      <c r="H9" s="884">
        <v>4804242.4120413437</v>
      </c>
      <c r="I9" s="875"/>
      <c r="K9" s="888">
        <v>241.13219942419204</v>
      </c>
      <c r="L9" s="888">
        <f t="shared" si="0"/>
        <v>55.838321969709831</v>
      </c>
      <c r="M9" s="888">
        <f t="shared" si="1"/>
        <v>10.003864081664251</v>
      </c>
      <c r="N9" s="888">
        <f t="shared" si="2"/>
        <v>4.5654711595694302</v>
      </c>
      <c r="O9" s="997">
        <f t="shared" si="3"/>
        <v>4.1487051938948118E-2</v>
      </c>
      <c r="P9" s="997">
        <f t="shared" si="4"/>
        <v>1.8933477861818031E-2</v>
      </c>
    </row>
    <row r="10" spans="1:16" x14ac:dyDescent="0.3">
      <c r="A10" s="1997"/>
      <c r="B10" s="882">
        <v>2006</v>
      </c>
      <c r="C10" s="883">
        <v>1277451630.6173656</v>
      </c>
      <c r="D10" s="883">
        <v>252686290.72158235</v>
      </c>
      <c r="E10" s="884">
        <v>12364.453567416973</v>
      </c>
      <c r="F10" s="883">
        <v>49416538.285702489</v>
      </c>
      <c r="G10" s="883">
        <v>21870952.354233917</v>
      </c>
      <c r="H10" s="884">
        <v>5138992.1810969524</v>
      </c>
      <c r="I10" s="875"/>
      <c r="K10" s="888">
        <v>248.58018568626912</v>
      </c>
      <c r="L10" s="888">
        <f t="shared" si="0"/>
        <v>49.170397972398696</v>
      </c>
      <c r="M10" s="888">
        <f t="shared" si="1"/>
        <v>9.6159979514026421</v>
      </c>
      <c r="N10" s="888">
        <f t="shared" si="2"/>
        <v>4.2558835630618557</v>
      </c>
      <c r="O10" s="997">
        <f t="shared" si="3"/>
        <v>3.8683686412314892E-2</v>
      </c>
      <c r="P10" s="997">
        <f t="shared" si="4"/>
        <v>1.7120767495254707E-2</v>
      </c>
    </row>
    <row r="11" spans="1:16" x14ac:dyDescent="0.3">
      <c r="A11" s="1997"/>
      <c r="B11" s="882">
        <v>2007</v>
      </c>
      <c r="C11" s="883">
        <v>1342601724.5454946</v>
      </c>
      <c r="D11" s="883">
        <v>265573237.30906898</v>
      </c>
      <c r="E11" s="884">
        <v>12512.815291951541</v>
      </c>
      <c r="F11" s="883">
        <v>51936635.197314918</v>
      </c>
      <c r="G11" s="883">
        <v>22986301.933604218</v>
      </c>
      <c r="H11" s="884">
        <v>5262460.0446342286</v>
      </c>
      <c r="I11" s="875"/>
      <c r="K11" s="888">
        <v>255.1281554934472</v>
      </c>
      <c r="L11" s="888">
        <f t="shared" si="0"/>
        <v>50.465606400158016</v>
      </c>
      <c r="M11" s="888">
        <f t="shared" si="1"/>
        <v>9.8692692688985186</v>
      </c>
      <c r="N11" s="888">
        <f t="shared" si="2"/>
        <v>4.3679765240292481</v>
      </c>
      <c r="O11" s="997">
        <f t="shared" si="3"/>
        <v>3.8683575514471213E-2</v>
      </c>
      <c r="P11" s="997">
        <f t="shared" si="4"/>
        <v>1.7120715334538749E-2</v>
      </c>
    </row>
    <row r="12" spans="1:16" x14ac:dyDescent="0.3">
      <c r="A12" s="1997"/>
      <c r="B12" s="882">
        <v>2008</v>
      </c>
      <c r="C12" s="883">
        <v>1393620698.1078117</v>
      </c>
      <c r="D12" s="883">
        <v>275664894.03043985</v>
      </c>
      <c r="E12" s="884">
        <v>12487.704703877989</v>
      </c>
      <c r="F12" s="883">
        <v>53910399.256442964</v>
      </c>
      <c r="G12" s="883">
        <v>23859733.158686195</v>
      </c>
      <c r="H12" s="884">
        <v>5241331.8540823953</v>
      </c>
      <c r="I12" s="875"/>
      <c r="K12" s="888">
        <v>265.89056692190582</v>
      </c>
      <c r="L12" s="888">
        <f t="shared" si="0"/>
        <v>52.594436243476657</v>
      </c>
      <c r="M12" s="888">
        <f t="shared" si="1"/>
        <v>10.285629827932562</v>
      </c>
      <c r="N12" s="888">
        <f t="shared" si="2"/>
        <v>4.5522271481631531</v>
      </c>
      <c r="O12" s="997">
        <f t="shared" si="3"/>
        <v>3.8683695879115312E-2</v>
      </c>
      <c r="P12" s="997">
        <f t="shared" si="4"/>
        <v>1.7120679386494291E-2</v>
      </c>
    </row>
    <row r="13" spans="1:16" x14ac:dyDescent="0.3">
      <c r="A13" s="1997"/>
      <c r="B13" s="882">
        <v>2009</v>
      </c>
      <c r="C13" s="883">
        <v>1344843838.637053</v>
      </c>
      <c r="D13" s="883">
        <v>266016584.74565205</v>
      </c>
      <c r="E13" s="884">
        <v>12225.508313409984</v>
      </c>
      <c r="F13" s="883">
        <v>52023522.314241059</v>
      </c>
      <c r="G13" s="883">
        <v>23024630.097843748</v>
      </c>
      <c r="H13" s="884">
        <v>5026528.5834720898</v>
      </c>
      <c r="I13" s="875"/>
      <c r="K13" s="888">
        <v>267.54922732541155</v>
      </c>
      <c r="L13" s="888">
        <f t="shared" si="0"/>
        <v>52.922525024596652</v>
      </c>
      <c r="M13" s="888">
        <f t="shared" si="1"/>
        <v>10.349791401823811</v>
      </c>
      <c r="N13" s="888">
        <f t="shared" si="2"/>
        <v>4.5806225341186488</v>
      </c>
      <c r="O13" s="997">
        <f t="shared" si="3"/>
        <v>3.8683690120456568E-2</v>
      </c>
      <c r="P13" s="997">
        <f t="shared" si="4"/>
        <v>1.7120671884981318E-2</v>
      </c>
    </row>
    <row r="14" spans="1:16" x14ac:dyDescent="0.3">
      <c r="A14" s="1997"/>
      <c r="B14" s="882">
        <v>2010</v>
      </c>
      <c r="C14" s="883">
        <v>1363671745.4034505</v>
      </c>
      <c r="D14" s="883">
        <v>269741017.64375567</v>
      </c>
      <c r="E14" s="884">
        <v>12207.093882156047</v>
      </c>
      <c r="F14" s="883">
        <v>52751780.857176326</v>
      </c>
      <c r="G14" s="883">
        <v>23347037.59703508</v>
      </c>
      <c r="H14" s="884">
        <v>5011342.6965129599</v>
      </c>
      <c r="I14" s="875"/>
      <c r="K14" s="888">
        <v>272.11704087855207</v>
      </c>
      <c r="L14" s="888">
        <f t="shared" si="0"/>
        <v>53.826096912400232</v>
      </c>
      <c r="M14" s="888">
        <f t="shared" si="1"/>
        <v>10.526476445899933</v>
      </c>
      <c r="N14" s="888">
        <f t="shared" si="2"/>
        <v>4.6588387605742145</v>
      </c>
      <c r="O14" s="997">
        <f t="shared" si="3"/>
        <v>3.8683635585314118E-2</v>
      </c>
      <c r="P14" s="997">
        <f t="shared" si="4"/>
        <v>1.712071667960512E-2</v>
      </c>
    </row>
    <row r="15" spans="1:16" x14ac:dyDescent="0.3">
      <c r="A15" s="1997"/>
      <c r="B15" s="882">
        <v>2011</v>
      </c>
      <c r="C15" s="883">
        <v>1422309555.6853199</v>
      </c>
      <c r="D15" s="883">
        <v>281339846.02897155</v>
      </c>
      <c r="E15" s="884">
        <v>12274.264705252797</v>
      </c>
      <c r="F15" s="883">
        <v>55020108.916117921</v>
      </c>
      <c r="G15" s="883">
        <v>24351010.040321101</v>
      </c>
      <c r="H15" s="884">
        <v>5066584.1113932738</v>
      </c>
      <c r="I15" s="875"/>
      <c r="K15" s="888">
        <v>280.72356530842137</v>
      </c>
      <c r="L15" s="888">
        <f t="shared" si="0"/>
        <v>55.528505960518856</v>
      </c>
      <c r="M15" s="888">
        <f t="shared" si="1"/>
        <v>10.859408963998781</v>
      </c>
      <c r="N15" s="888">
        <f t="shared" si="2"/>
        <v>4.8061987139545881</v>
      </c>
      <c r="O15" s="997">
        <f t="shared" si="3"/>
        <v>3.8683638660929373E-2</v>
      </c>
      <c r="P15" s="997">
        <f t="shared" si="4"/>
        <v>1.7120752611823598E-2</v>
      </c>
    </row>
    <row r="16" spans="1:16" x14ac:dyDescent="0.3">
      <c r="A16" s="1997"/>
      <c r="B16" s="882">
        <v>2012</v>
      </c>
      <c r="C16" s="883">
        <v>1442222009.4977901</v>
      </c>
      <c r="D16" s="883">
        <v>285278615.92655802</v>
      </c>
      <c r="E16" s="884">
        <v>12231.367450627147</v>
      </c>
      <c r="F16" s="883">
        <v>55790421.564686954</v>
      </c>
      <c r="G16" s="883">
        <v>24691905.242263265</v>
      </c>
      <c r="H16" s="884">
        <v>5031150.3751553036</v>
      </c>
      <c r="I16" s="875"/>
      <c r="K16" s="888">
        <v>286.65849794904432</v>
      </c>
      <c r="L16" s="888">
        <f t="shared" si="0"/>
        <v>56.702462588936612</v>
      </c>
      <c r="M16" s="888">
        <f t="shared" si="1"/>
        <v>11.088999017041861</v>
      </c>
      <c r="N16" s="888">
        <f t="shared" si="2"/>
        <v>4.9078050547239043</v>
      </c>
      <c r="O16" s="997">
        <f t="shared" si="3"/>
        <v>3.8683657021788394E-2</v>
      </c>
      <c r="P16" s="997">
        <f t="shared" si="4"/>
        <v>1.712073805534383E-2</v>
      </c>
    </row>
    <row r="17" spans="1:16" x14ac:dyDescent="0.3">
      <c r="A17" s="1997"/>
      <c r="B17" s="882">
        <v>2013</v>
      </c>
      <c r="C17" s="883">
        <v>1567256755.2046111</v>
      </c>
      <c r="D17" s="883">
        <v>296623541.43585837</v>
      </c>
      <c r="E17" s="884">
        <v>12647.366193045656</v>
      </c>
      <c r="F17" s="883">
        <v>59669218.082986549</v>
      </c>
      <c r="G17" s="883">
        <v>26732090.878754437</v>
      </c>
      <c r="H17" s="884">
        <v>5416299.6820897646</v>
      </c>
      <c r="I17" s="875"/>
      <c r="K17" s="888">
        <v>289.35931303563291</v>
      </c>
      <c r="L17" s="888">
        <f t="shared" si="0"/>
        <v>54.764979570224305</v>
      </c>
      <c r="M17" s="888">
        <f t="shared" si="1"/>
        <v>11.016602031881007</v>
      </c>
      <c r="N17" s="888">
        <f t="shared" si="2"/>
        <v>4.9354896235062871</v>
      </c>
      <c r="O17" s="997">
        <f t="shared" si="3"/>
        <v>3.8072394893073229E-2</v>
      </c>
      <c r="P17" s="997">
        <f t="shared" si="4"/>
        <v>1.7056612319571382E-2</v>
      </c>
    </row>
    <row r="18" spans="1:16" x14ac:dyDescent="0.3">
      <c r="A18" s="1997"/>
      <c r="B18" s="882">
        <v>2014</v>
      </c>
      <c r="C18" s="883">
        <v>1675084037.9676197</v>
      </c>
      <c r="D18" s="883">
        <v>317031410.87928075</v>
      </c>
      <c r="E18" s="884">
        <v>12974.850112504897</v>
      </c>
      <c r="F18" s="883">
        <v>61921984.27023989</v>
      </c>
      <c r="G18" s="883">
        <v>28571391.842672549</v>
      </c>
      <c r="H18" s="884">
        <v>5696908.4628563002</v>
      </c>
      <c r="I18" s="875"/>
      <c r="K18" s="888">
        <v>294.03386922734063</v>
      </c>
      <c r="L18" s="888">
        <f t="shared" si="0"/>
        <v>55.649728786466831</v>
      </c>
      <c r="M18" s="888">
        <f t="shared" si="1"/>
        <v>10.869401303175165</v>
      </c>
      <c r="N18" s="888">
        <f t="shared" si="2"/>
        <v>5.0152450278878984</v>
      </c>
      <c r="O18" s="997">
        <f t="shared" si="3"/>
        <v>3.6966494138031346E-2</v>
      </c>
      <c r="P18" s="997">
        <f t="shared" si="4"/>
        <v>1.7056691601776728E-2</v>
      </c>
    </row>
    <row r="19" spans="1:16" x14ac:dyDescent="0.3">
      <c r="A19" s="1997"/>
      <c r="B19" s="882">
        <v>2015</v>
      </c>
      <c r="C19" s="883">
        <v>1820648906.6600258</v>
      </c>
      <c r="D19" s="883">
        <v>344581314.05730361</v>
      </c>
      <c r="E19" s="884">
        <v>13534.397716743879</v>
      </c>
      <c r="F19" s="883">
        <v>69316466.967446268</v>
      </c>
      <c r="G19" s="883">
        <v>31054155.046235461</v>
      </c>
      <c r="H19" s="884">
        <v>6188358.9785046726</v>
      </c>
      <c r="I19" s="875"/>
      <c r="K19" s="888">
        <v>294.2054449304037</v>
      </c>
      <c r="L19" s="888">
        <f t="shared" si="0"/>
        <v>55.682179274701141</v>
      </c>
      <c r="M19" s="888">
        <f t="shared" si="1"/>
        <v>11.201106336626191</v>
      </c>
      <c r="N19" s="888">
        <f t="shared" si="2"/>
        <v>5.018156696161677</v>
      </c>
      <c r="O19" s="997">
        <f t="shared" si="3"/>
        <v>3.8072396448257058E-2</v>
      </c>
      <c r="P19" s="997">
        <f t="shared" si="4"/>
        <v>1.7056641141868587E-2</v>
      </c>
    </row>
    <row r="20" spans="1:16" x14ac:dyDescent="0.3">
      <c r="A20" s="1998" t="s">
        <v>688</v>
      </c>
      <c r="B20" s="880">
        <v>2016</v>
      </c>
      <c r="C20" s="881">
        <f t="shared" ref="C20:C44" si="5">C19*(1+C$49)</f>
        <v>1899873493.1460602</v>
      </c>
      <c r="D20" s="881">
        <f t="shared" ref="D20:D44" si="6">D19*(1+D$49)</f>
        <v>360750558.43358058</v>
      </c>
      <c r="E20" s="881">
        <f t="shared" ref="E20:E44" si="7">E19*(1+E$49)</f>
        <v>13780.104005642512</v>
      </c>
      <c r="F20" s="881">
        <f t="shared" ref="F20:F44" si="8">F19*(1+F$49)</f>
        <v>72975959.053907752</v>
      </c>
      <c r="G20" s="881">
        <f t="shared" ref="G20:G44" si="9">G19*(1+G$49)</f>
        <v>32396167.547789562</v>
      </c>
      <c r="H20" s="1681">
        <f t="shared" ref="H20:H44" si="10">H19*(1+H$49)</f>
        <v>6323488.8652401734</v>
      </c>
      <c r="I20" s="885">
        <v>708706</v>
      </c>
      <c r="J20" s="885">
        <f>B64</f>
        <v>291530</v>
      </c>
      <c r="K20" s="887">
        <f>C20/H20</f>
        <v>300.4470370129925</v>
      </c>
      <c r="L20" s="887">
        <f t="shared" si="0"/>
        <v>57.049291320271635</v>
      </c>
      <c r="M20" s="887">
        <f t="shared" si="1"/>
        <v>11.54045821999499</v>
      </c>
      <c r="N20" s="887">
        <f t="shared" si="2"/>
        <v>5.1231477176894051</v>
      </c>
      <c r="P20" s="574"/>
    </row>
    <row r="21" spans="1:16" x14ac:dyDescent="0.3">
      <c r="A21" s="1998"/>
      <c r="B21" s="880">
        <v>2017</v>
      </c>
      <c r="C21" s="881">
        <f t="shared" si="5"/>
        <v>1982545496.1443741</v>
      </c>
      <c r="D21" s="881">
        <f t="shared" si="6"/>
        <v>377678533.63197136</v>
      </c>
      <c r="E21" s="881">
        <f t="shared" si="7"/>
        <v>14030.270897936127</v>
      </c>
      <c r="F21" s="881">
        <f t="shared" si="8"/>
        <v>76828650.287942111</v>
      </c>
      <c r="G21" s="881">
        <f t="shared" si="9"/>
        <v>33796175.430369034</v>
      </c>
      <c r="H21" s="1681">
        <f t="shared" si="10"/>
        <v>6461569.4674000014</v>
      </c>
      <c r="I21" s="885">
        <f t="shared" ref="I21:J44" si="11">I20*(1+$H$49)</f>
        <v>724181.40500501322</v>
      </c>
      <c r="J21" s="885">
        <f t="shared" si="11"/>
        <v>297895.89054009918</v>
      </c>
      <c r="K21" s="887">
        <f t="shared" ref="K21:K44" si="12">C21/H21</f>
        <v>306.82104497161868</v>
      </c>
      <c r="L21" s="887">
        <f t="shared" si="0"/>
        <v>58.449968778860963</v>
      </c>
      <c r="M21" s="887">
        <f t="shared" si="1"/>
        <v>11.890091203934132</v>
      </c>
      <c r="N21" s="887">
        <f t="shared" si="2"/>
        <v>5.2303353853700658</v>
      </c>
      <c r="P21" s="574"/>
    </row>
    <row r="22" spans="1:16" x14ac:dyDescent="0.3">
      <c r="A22" s="1998"/>
      <c r="B22" s="880">
        <v>2018</v>
      </c>
      <c r="C22" s="881">
        <f t="shared" si="5"/>
        <v>2068814928.1843636</v>
      </c>
      <c r="D22" s="881">
        <f t="shared" si="6"/>
        <v>395400842.58153248</v>
      </c>
      <c r="E22" s="881">
        <f t="shared" si="7"/>
        <v>14284.97937235236</v>
      </c>
      <c r="F22" s="881">
        <f t="shared" si="8"/>
        <v>80884740.421247408</v>
      </c>
      <c r="G22" s="881">
        <f t="shared" si="9"/>
        <v>35256684.977794923</v>
      </c>
      <c r="H22" s="1681">
        <f t="shared" si="10"/>
        <v>6602665.2172258003</v>
      </c>
      <c r="I22" s="885">
        <f t="shared" si="11"/>
        <v>739994.73315455916</v>
      </c>
      <c r="J22" s="885">
        <f t="shared" ref="J22" si="13">J21*(1+$H$49)</f>
        <v>304400.78757136053</v>
      </c>
      <c r="K22" s="887">
        <f t="shared" si="12"/>
        <v>313.33027801970013</v>
      </c>
      <c r="L22" s="887">
        <f t="shared" si="0"/>
        <v>59.885035750406487</v>
      </c>
      <c r="M22" s="887">
        <f t="shared" si="1"/>
        <v>12.250316767572267</v>
      </c>
      <c r="N22" s="887">
        <f t="shared" si="2"/>
        <v>5.3397656579366144</v>
      </c>
      <c r="P22" s="574"/>
    </row>
    <row r="23" spans="1:16" x14ac:dyDescent="0.3">
      <c r="A23" s="1998"/>
      <c r="B23" s="880">
        <v>2019</v>
      </c>
      <c r="C23" s="881">
        <f t="shared" si="5"/>
        <v>2158838329.5123096</v>
      </c>
      <c r="D23" s="881">
        <f t="shared" si="6"/>
        <v>413954758.8546111</v>
      </c>
      <c r="E23" s="881">
        <f t="shared" si="7"/>
        <v>14544.311877723618</v>
      </c>
      <c r="F23" s="881">
        <f t="shared" si="8"/>
        <v>85154967.690996423</v>
      </c>
      <c r="G23" s="881">
        <f t="shared" si="9"/>
        <v>36780310.783523977</v>
      </c>
      <c r="H23" s="1681">
        <f t="shared" si="10"/>
        <v>6746841.9539108053</v>
      </c>
      <c r="I23" s="885">
        <f t="shared" si="11"/>
        <v>756153.36338647979</v>
      </c>
      <c r="J23" s="885">
        <f t="shared" ref="J23" si="14">J22*(1+$H$49)</f>
        <v>311047.72645929403</v>
      </c>
      <c r="K23" s="887">
        <f t="shared" si="12"/>
        <v>319.97760496834218</v>
      </c>
      <c r="L23" s="887">
        <f t="shared" si="0"/>
        <v>61.355336568194296</v>
      </c>
      <c r="M23" s="887">
        <f t="shared" si="1"/>
        <v>12.621455826697758</v>
      </c>
      <c r="N23" s="887">
        <f t="shared" si="2"/>
        <v>5.4514854556811247</v>
      </c>
      <c r="P23" s="574"/>
    </row>
    <row r="24" spans="1:16" x14ac:dyDescent="0.3">
      <c r="A24" s="1998"/>
      <c r="B24" s="880">
        <v>2020</v>
      </c>
      <c r="C24" s="881">
        <f t="shared" si="5"/>
        <v>2252779052.1415691</v>
      </c>
      <c r="D24" s="881">
        <f t="shared" si="6"/>
        <v>433379305.06064796</v>
      </c>
      <c r="E24" s="881">
        <f t="shared" si="7"/>
        <v>14808.352359675668</v>
      </c>
      <c r="F24" s="881">
        <f t="shared" si="8"/>
        <v>89650637.248627454</v>
      </c>
      <c r="G24" s="881">
        <f t="shared" si="9"/>
        <v>38369780.431274638</v>
      </c>
      <c r="H24" s="1681">
        <f t="shared" si="10"/>
        <v>6894166.9543222375</v>
      </c>
      <c r="I24" s="885">
        <f t="shared" si="11"/>
        <v>772664.83576615306</v>
      </c>
      <c r="J24" s="885">
        <f t="shared" ref="J24" si="15">J23*(1+$H$49)</f>
        <v>317839.80885008251</v>
      </c>
      <c r="K24" s="887">
        <f t="shared" si="12"/>
        <v>326.76595549070782</v>
      </c>
      <c r="L24" s="887">
        <f t="shared" si="0"/>
        <v>62.861736295629541</v>
      </c>
      <c r="M24" s="887">
        <f t="shared" si="1"/>
        <v>13.003839019654402</v>
      </c>
      <c r="N24" s="887">
        <f t="shared" si="2"/>
        <v>5.5655426805727473</v>
      </c>
      <c r="P24" s="574"/>
    </row>
    <row r="25" spans="1:16" x14ac:dyDescent="0.3">
      <c r="A25" s="1998"/>
      <c r="B25" s="880">
        <v>2021</v>
      </c>
      <c r="C25" s="881">
        <f t="shared" si="5"/>
        <v>2350807556.2630634</v>
      </c>
      <c r="D25" s="881">
        <f t="shared" si="6"/>
        <v>453715334.91855651</v>
      </c>
      <c r="E25" s="881">
        <f t="shared" si="7"/>
        <v>15077.186287800738</v>
      </c>
      <c r="F25" s="881">
        <f t="shared" si="8"/>
        <v>94383651.089503944</v>
      </c>
      <c r="G25" s="881">
        <f t="shared" si="9"/>
        <v>40027939.37792737</v>
      </c>
      <c r="H25" s="1681">
        <f t="shared" si="10"/>
        <v>7044708.9643945601</v>
      </c>
      <c r="I25" s="885">
        <f t="shared" si="11"/>
        <v>789536.85500489699</v>
      </c>
      <c r="J25" s="885">
        <f t="shared" ref="J25" si="16">J24*(1+$H$49)</f>
        <v>324780.20411789598</v>
      </c>
      <c r="K25" s="887">
        <f t="shared" si="12"/>
        <v>333.69832141321081</v>
      </c>
      <c r="L25" s="887">
        <f t="shared" si="0"/>
        <v>64.405121235203495</v>
      </c>
      <c r="M25" s="887">
        <f t="shared" si="1"/>
        <v>13.397807001898695</v>
      </c>
      <c r="N25" s="887">
        <f t="shared" si="2"/>
        <v>5.681986236796579</v>
      </c>
      <c r="P25" s="574"/>
    </row>
    <row r="26" spans="1:16" x14ac:dyDescent="0.3">
      <c r="A26" s="1998"/>
      <c r="B26" s="880">
        <v>2022</v>
      </c>
      <c r="C26" s="881">
        <f t="shared" si="5"/>
        <v>2453101719.5539126</v>
      </c>
      <c r="D26" s="881">
        <f t="shared" si="6"/>
        <v>475005619.18029237</v>
      </c>
      <c r="E26" s="881">
        <f t="shared" si="7"/>
        <v>15350.90068332392</v>
      </c>
      <c r="F26" s="881">
        <f t="shared" si="8"/>
        <v>99366539.562680066</v>
      </c>
      <c r="G26" s="881">
        <f t="shared" si="9"/>
        <v>41757756.047440656</v>
      </c>
      <c r="H26" s="1681">
        <f t="shared" si="10"/>
        <v>7198538.231208236</v>
      </c>
      <c r="I26" s="885">
        <f t="shared" si="11"/>
        <v>806777.29405520158</v>
      </c>
      <c r="J26" s="885">
        <f t="shared" ref="J26" si="17">J25*(1+$H$49)</f>
        <v>331872.15084380953</v>
      </c>
      <c r="K26" s="887">
        <f t="shared" si="12"/>
        <v>340.77775803410196</v>
      </c>
      <c r="L26" s="887">
        <f t="shared" si="0"/>
        <v>65.986399449956835</v>
      </c>
      <c r="M26" s="887">
        <f t="shared" si="1"/>
        <v>13.803710749481139</v>
      </c>
      <c r="N26" s="887">
        <f t="shared" si="2"/>
        <v>5.8008660517222594</v>
      </c>
      <c r="P26" s="574"/>
    </row>
    <row r="27" spans="1:16" x14ac:dyDescent="0.3">
      <c r="A27" s="1998"/>
      <c r="B27" s="886">
        <v>2023</v>
      </c>
      <c r="C27" s="891">
        <f t="shared" si="5"/>
        <v>2559847159.9454737</v>
      </c>
      <c r="D27" s="881">
        <f t="shared" si="6"/>
        <v>497294935.58632833</v>
      </c>
      <c r="E27" s="881">
        <f t="shared" si="7"/>
        <v>15629.58414727184</v>
      </c>
      <c r="F27" s="881">
        <f t="shared" si="8"/>
        <v>104612494.54419211</v>
      </c>
      <c r="G27" s="881">
        <f t="shared" si="9"/>
        <v>43562327.144901738</v>
      </c>
      <c r="H27" s="885">
        <f t="shared" si="10"/>
        <v>7355726.535768969</v>
      </c>
      <c r="I27" s="885">
        <f t="shared" si="11"/>
        <v>824394.19778446713</v>
      </c>
      <c r="J27" s="885">
        <f t="shared" ref="J27" si="18">J26*(1+$H$49)</f>
        <v>339118.95832701528</v>
      </c>
      <c r="K27" s="889">
        <f t="shared" si="12"/>
        <v>348.00738547002913</v>
      </c>
      <c r="L27" s="889">
        <f t="shared" si="0"/>
        <v>67.606501297745837</v>
      </c>
      <c r="M27" s="889">
        <f t="shared" si="1"/>
        <v>14.221911871721845</v>
      </c>
      <c r="N27" s="889">
        <f t="shared" si="2"/>
        <v>5.9222330973112669</v>
      </c>
      <c r="P27" s="574"/>
    </row>
    <row r="28" spans="1:16" x14ac:dyDescent="0.3">
      <c r="A28" s="1998"/>
      <c r="B28" s="886">
        <v>2024</v>
      </c>
      <c r="C28" s="891">
        <f t="shared" si="5"/>
        <v>2671237572.4364634</v>
      </c>
      <c r="D28" s="881">
        <f t="shared" si="6"/>
        <v>520630163.04222876</v>
      </c>
      <c r="E28" s="881">
        <f t="shared" si="7"/>
        <v>15913.32688915271</v>
      </c>
      <c r="F28" s="881">
        <f t="shared" si="8"/>
        <v>110135404.36169994</v>
      </c>
      <c r="G28" s="881">
        <f t="shared" si="9"/>
        <v>45444883.200225309</v>
      </c>
      <c r="H28" s="885">
        <f t="shared" si="10"/>
        <v>7516347.2265027119</v>
      </c>
      <c r="I28" s="885">
        <f t="shared" si="11"/>
        <v>842395.78672896267</v>
      </c>
      <c r="J28" s="885">
        <f t="shared" ref="J28" si="19">J27*(1+$H$49)</f>
        <v>346524.00812903303</v>
      </c>
      <c r="K28" s="889">
        <f t="shared" si="12"/>
        <v>355.39039003116488</v>
      </c>
      <c r="L28" s="889">
        <f t="shared" si="0"/>
        <v>69.266379978626034</v>
      </c>
      <c r="M28" s="889">
        <f t="shared" si="1"/>
        <v>14.652782933359099</v>
      </c>
      <c r="N28" s="889">
        <f t="shared" si="2"/>
        <v>6.0461394119721099</v>
      </c>
      <c r="P28" s="574"/>
    </row>
    <row r="29" spans="1:16" x14ac:dyDescent="0.3">
      <c r="A29" s="1998"/>
      <c r="B29" s="886">
        <v>2025</v>
      </c>
      <c r="C29" s="891">
        <f t="shared" si="5"/>
        <v>2787475080.562326</v>
      </c>
      <c r="D29" s="881">
        <f t="shared" si="6"/>
        <v>545060380.214396</v>
      </c>
      <c r="E29" s="881">
        <f t="shared" si="7"/>
        <v>16202.220756157027</v>
      </c>
      <c r="F29" s="881">
        <f t="shared" si="8"/>
        <v>115949890.56293924</v>
      </c>
      <c r="G29" s="881">
        <f t="shared" si="9"/>
        <v>47408794.351424426</v>
      </c>
      <c r="H29" s="885">
        <f t="shared" si="10"/>
        <v>7680475.2534820763</v>
      </c>
      <c r="I29" s="885">
        <f t="shared" si="11"/>
        <v>860790.46092975605</v>
      </c>
      <c r="J29" s="885">
        <f t="shared" ref="J29" si="20">J28*(1+$H$49)</f>
        <v>354090.75565164082</v>
      </c>
      <c r="K29" s="889">
        <f t="shared" si="12"/>
        <v>362.93002562550748</v>
      </c>
      <c r="L29" s="889">
        <f t="shared" si="0"/>
        <v>70.96701209567513</v>
      </c>
      <c r="M29" s="889">
        <f t="shared" si="1"/>
        <v>15.096707786457792</v>
      </c>
      <c r="N29" s="889">
        <f t="shared" si="2"/>
        <v>6.1726381228727778</v>
      </c>
      <c r="P29" s="574"/>
    </row>
    <row r="30" spans="1:16" x14ac:dyDescent="0.3">
      <c r="A30" s="1998"/>
      <c r="B30" s="886">
        <v>2026</v>
      </c>
      <c r="C30" s="891">
        <f t="shared" si="5"/>
        <v>2908770603.1586075</v>
      </c>
      <c r="D30" s="881">
        <f t="shared" si="6"/>
        <v>570636968.75235534</v>
      </c>
      <c r="E30" s="881">
        <f t="shared" si="7"/>
        <v>16496.359262888414</v>
      </c>
      <c r="F30" s="881">
        <f t="shared" si="8"/>
        <v>122071346.62532666</v>
      </c>
      <c r="G30" s="881">
        <f t="shared" si="9"/>
        <v>49457576.377806805</v>
      </c>
      <c r="H30" s="885">
        <f t="shared" si="10"/>
        <v>7848187.2034001201</v>
      </c>
      <c r="I30" s="885">
        <f t="shared" si="11"/>
        <v>879586.80385240668</v>
      </c>
      <c r="J30" s="885">
        <f t="shared" ref="J30" si="21">J29*(1+$H$49)</f>
        <v>361822.73174926144</v>
      </c>
      <c r="K30" s="889">
        <f t="shared" si="12"/>
        <v>370.62961519297374</v>
      </c>
      <c r="L30" s="889">
        <f t="shared" si="0"/>
        <v>72.709398229585375</v>
      </c>
      <c r="M30" s="889">
        <f t="shared" si="1"/>
        <v>15.55408191237346</v>
      </c>
      <c r="N30" s="889">
        <f t="shared" si="2"/>
        <v>6.3017834687200098</v>
      </c>
      <c r="P30" s="574"/>
    </row>
    <row r="31" spans="1:16" x14ac:dyDescent="0.3">
      <c r="A31" s="1998"/>
      <c r="B31" s="886">
        <v>2027</v>
      </c>
      <c r="C31" s="891">
        <f t="shared" si="5"/>
        <v>3035344237.083847</v>
      </c>
      <c r="D31" s="881">
        <f t="shared" si="6"/>
        <v>597413721.35467529</v>
      </c>
      <c r="E31" s="881">
        <f t="shared" si="7"/>
        <v>16795.837621634182</v>
      </c>
      <c r="F31" s="881">
        <f t="shared" si="8"/>
        <v>128515978.70919898</v>
      </c>
      <c r="G31" s="881">
        <f t="shared" si="9"/>
        <v>51594896.993897095</v>
      </c>
      <c r="H31" s="885">
        <f t="shared" si="10"/>
        <v>8019561.3353078207</v>
      </c>
      <c r="I31" s="885">
        <f t="shared" si="11"/>
        <v>898793.58639224852</v>
      </c>
      <c r="J31" s="885">
        <f t="shared" ref="J31" si="22">J30*(1+$H$49)</f>
        <v>369723.54437655694</v>
      </c>
      <c r="K31" s="889">
        <f t="shared" si="12"/>
        <v>378.4925521699173</v>
      </c>
      <c r="L31" s="889">
        <f t="shared" si="0"/>
        <v>74.494563527363354</v>
      </c>
      <c r="M31" s="889">
        <f t="shared" si="1"/>
        <v>16.025312774076571</v>
      </c>
      <c r="N31" s="889">
        <f t="shared" si="2"/>
        <v>6.4336308230151706</v>
      </c>
      <c r="P31" s="574"/>
    </row>
    <row r="32" spans="1:16" x14ac:dyDescent="0.3">
      <c r="A32" s="1998"/>
      <c r="B32" s="886">
        <v>2028</v>
      </c>
      <c r="C32" s="891">
        <f t="shared" si="5"/>
        <v>3167425656.5964561</v>
      </c>
      <c r="D32" s="881">
        <f t="shared" si="6"/>
        <v>625446954.90580845</v>
      </c>
      <c r="E32" s="881">
        <f t="shared" si="7"/>
        <v>17100.752773185428</v>
      </c>
      <c r="F32" s="881">
        <f t="shared" si="8"/>
        <v>135300848.56257796</v>
      </c>
      <c r="G32" s="881">
        <f t="shared" si="9"/>
        <v>53824582.415352464</v>
      </c>
      <c r="H32" s="885">
        <f t="shared" si="10"/>
        <v>8194677.6171319243</v>
      </c>
      <c r="I32" s="885">
        <f t="shared" si="11"/>
        <v>918419.77096713346</v>
      </c>
      <c r="J32" s="885">
        <f t="shared" ref="J32" si="23">J31*(1+$H$49)</f>
        <v>377796.88027200045</v>
      </c>
      <c r="K32" s="889">
        <f t="shared" si="12"/>
        <v>386.52230198471568</v>
      </c>
      <c r="L32" s="889">
        <f t="shared" si="0"/>
        <v>76.323558305483431</v>
      </c>
      <c r="M32" s="889">
        <f t="shared" si="1"/>
        <v>16.510820179150898</v>
      </c>
      <c r="N32" s="889">
        <f t="shared" si="2"/>
        <v>6.5682367177966743</v>
      </c>
      <c r="P32" s="574"/>
    </row>
    <row r="33" spans="1:16" x14ac:dyDescent="0.3">
      <c r="A33" s="1998"/>
      <c r="B33" s="886">
        <v>2029</v>
      </c>
      <c r="C33" s="891">
        <f t="shared" si="5"/>
        <v>3305254530.1102715</v>
      </c>
      <c r="D33" s="881">
        <f t="shared" si="6"/>
        <v>654795628.92180133</v>
      </c>
      <c r="E33" s="881">
        <f t="shared" si="7"/>
        <v>17411.203418216661</v>
      </c>
      <c r="F33" s="881">
        <f t="shared" si="8"/>
        <v>142443918.69104847</v>
      </c>
      <c r="G33" s="881">
        <f t="shared" si="9"/>
        <v>56150624.208625741</v>
      </c>
      <c r="H33" s="885">
        <f t="shared" si="10"/>
        <v>8373617.7629901972</v>
      </c>
      <c r="I33" s="885">
        <f t="shared" si="11"/>
        <v>938474.51569954422</v>
      </c>
      <c r="J33" s="885">
        <f t="shared" ref="J33" si="24">J32*(1+$H$49)</f>
        <v>386046.5066782108</v>
      </c>
      <c r="K33" s="889">
        <f t="shared" si="12"/>
        <v>394.72240358508719</v>
      </c>
      <c r="L33" s="889">
        <f t="shared" si="0"/>
        <v>78.1974586678501</v>
      </c>
      <c r="M33" s="889">
        <f t="shared" si="1"/>
        <v>17.011036653789429</v>
      </c>
      <c r="N33" s="889">
        <f t="shared" si="2"/>
        <v>6.7056588678791682</v>
      </c>
      <c r="P33" s="574"/>
    </row>
    <row r="34" spans="1:16" x14ac:dyDescent="0.3">
      <c r="A34" s="1998"/>
      <c r="B34" s="886">
        <v>2030</v>
      </c>
      <c r="C34" s="891">
        <f t="shared" si="5"/>
        <v>3449080955.0850105</v>
      </c>
      <c r="D34" s="881">
        <f t="shared" si="6"/>
        <v>685521469.55398917</v>
      </c>
      <c r="E34" s="881">
        <f t="shared" si="7"/>
        <v>17727.2900492351</v>
      </c>
      <c r="F34" s="881">
        <f t="shared" si="8"/>
        <v>149964099.91233411</v>
      </c>
      <c r="G34" s="881">
        <f t="shared" si="9"/>
        <v>58577186.436638348</v>
      </c>
      <c r="H34" s="885">
        <f t="shared" si="10"/>
        <v>8556465.2713215034</v>
      </c>
      <c r="I34" s="885">
        <f t="shared" si="11"/>
        <v>958967.17869002849</v>
      </c>
      <c r="J34" s="885">
        <f t="shared" ref="J34" si="25">J33*(1+$H$49)</f>
        <v>394476.27309985232</v>
      </c>
      <c r="K34" s="889">
        <f t="shared" si="12"/>
        <v>403.09647099780926</v>
      </c>
      <c r="L34" s="889">
        <f t="shared" si="0"/>
        <v>80.117367138932337</v>
      </c>
      <c r="M34" s="889">
        <f t="shared" si="1"/>
        <v>17.526407828120934</v>
      </c>
      <c r="N34" s="889">
        <f t="shared" si="2"/>
        <v>6.845956195599844</v>
      </c>
      <c r="P34" s="574"/>
    </row>
    <row r="35" spans="1:16" x14ac:dyDescent="0.3">
      <c r="A35" s="1998"/>
      <c r="B35" s="886">
        <v>2031</v>
      </c>
      <c r="C35" s="891">
        <f t="shared" si="5"/>
        <v>3599165911.8407569</v>
      </c>
      <c r="D35" s="881">
        <f t="shared" si="6"/>
        <v>717689099.41147947</v>
      </c>
      <c r="E35" s="881">
        <f t="shared" si="7"/>
        <v>18049.114983109965</v>
      </c>
      <c r="F35" s="881">
        <f t="shared" si="8"/>
        <v>157881301.42146817</v>
      </c>
      <c r="G35" s="881">
        <f t="shared" si="9"/>
        <v>61108613.113255121</v>
      </c>
      <c r="H35" s="885">
        <f t="shared" si="10"/>
        <v>8743305.4638484903</v>
      </c>
      <c r="I35" s="885">
        <f t="shared" si="11"/>
        <v>979907.32238394825</v>
      </c>
      <c r="J35" s="885">
        <f t="shared" ref="J35" si="26">J34*(1+$H$49)</f>
        <v>403090.11309992062</v>
      </c>
      <c r="K35" s="889">
        <f t="shared" si="12"/>
        <v>411.64819492152719</v>
      </c>
      <c r="L35" s="889">
        <f t="shared" si="0"/>
        <v>82.084413312442862</v>
      </c>
      <c r="M35" s="889">
        <f t="shared" si="1"/>
        <v>18.057392833210528</v>
      </c>
      <c r="N35" s="889">
        <f t="shared" si="2"/>
        <v>6.9891888560825022</v>
      </c>
      <c r="P35" s="574"/>
    </row>
    <row r="36" spans="1:16" x14ac:dyDescent="0.3">
      <c r="A36" s="1998"/>
      <c r="B36" s="886">
        <v>2032</v>
      </c>
      <c r="C36" s="891">
        <f t="shared" si="5"/>
        <v>3755781737.119947</v>
      </c>
      <c r="D36" s="881">
        <f t="shared" si="6"/>
        <v>751366173.47546804</v>
      </c>
      <c r="E36" s="881">
        <f t="shared" si="7"/>
        <v>18376.782394192338</v>
      </c>
      <c r="F36" s="881">
        <f t="shared" si="8"/>
        <v>166216483.49910411</v>
      </c>
      <c r="G36" s="881">
        <f t="shared" si="9"/>
        <v>63749435.979906023</v>
      </c>
      <c r="H36" s="885">
        <f t="shared" si="10"/>
        <v>8934225.5253910776</v>
      </c>
      <c r="I36" s="885">
        <f t="shared" si="11"/>
        <v>1001304.7180335824</v>
      </c>
      <c r="J36" s="885">
        <f t="shared" ref="J36" si="27">J35*(1+$H$49)</f>
        <v>411892.04613525246</v>
      </c>
      <c r="K36" s="889">
        <f t="shared" si="12"/>
        <v>420.38134435335348</v>
      </c>
      <c r="L36" s="889">
        <f t="shared" si="0"/>
        <v>84.099754515943729</v>
      </c>
      <c r="M36" s="889">
        <f t="shared" si="1"/>
        <v>18.604464710087818</v>
      </c>
      <c r="N36" s="889">
        <f t="shared" si="2"/>
        <v>7.1354182630301937</v>
      </c>
      <c r="P36" s="574"/>
    </row>
    <row r="37" spans="1:16" x14ac:dyDescent="0.3">
      <c r="A37" s="1998"/>
      <c r="B37" s="886">
        <v>2033</v>
      </c>
      <c r="C37" s="891">
        <f t="shared" si="5"/>
        <v>3919212618.2561584</v>
      </c>
      <c r="D37" s="881">
        <f t="shared" si="6"/>
        <v>786623521.39124203</v>
      </c>
      <c r="E37" s="881">
        <f t="shared" si="7"/>
        <v>18710.398348036277</v>
      </c>
      <c r="F37" s="881">
        <f t="shared" si="8"/>
        <v>174991713.0025076</v>
      </c>
      <c r="G37" s="881">
        <f t="shared" si="9"/>
        <v>66504382.618276328</v>
      </c>
      <c r="H37" s="885">
        <f t="shared" si="10"/>
        <v>9129314.5445493106</v>
      </c>
      <c r="I37" s="885">
        <f t="shared" si="11"/>
        <v>1023169.3502576645</v>
      </c>
      <c r="J37" s="885">
        <f t="shared" ref="J37" si="28">J36*(1+$H$49)</f>
        <v>420886.17943211552</v>
      </c>
      <c r="K37" s="889">
        <f t="shared" si="12"/>
        <v>429.29976824997647</v>
      </c>
      <c r="L37" s="889">
        <f t="shared" si="0"/>
        <v>86.164576491769409</v>
      </c>
      <c r="M37" s="889">
        <f t="shared" si="1"/>
        <v>19.168110831167169</v>
      </c>
      <c r="N37" s="889">
        <f t="shared" si="2"/>
        <v>7.2847071150575049</v>
      </c>
      <c r="P37" s="574"/>
    </row>
    <row r="38" spans="1:16" x14ac:dyDescent="0.3">
      <c r="A38" s="1998"/>
      <c r="B38" s="886">
        <v>2034</v>
      </c>
      <c r="C38" s="891">
        <f t="shared" si="5"/>
        <v>4089755108.8463955</v>
      </c>
      <c r="D38" s="881">
        <f t="shared" si="6"/>
        <v>823535296.4371382</v>
      </c>
      <c r="E38" s="881">
        <f t="shared" si="7"/>
        <v>19050.070835732105</v>
      </c>
      <c r="F38" s="881">
        <f t="shared" si="8"/>
        <v>184230221.78613853</v>
      </c>
      <c r="G38" s="881">
        <f t="shared" si="9"/>
        <v>69378384.913588598</v>
      </c>
      <c r="H38" s="885">
        <f t="shared" si="10"/>
        <v>9328663.5552745741</v>
      </c>
      <c r="I38" s="885">
        <f t="shared" si="11"/>
        <v>1045511.4217004823</v>
      </c>
      <c r="J38" s="885">
        <f t="shared" ref="J38" si="29">J37*(1+$H$49)</f>
        <v>430076.70990275446</v>
      </c>
      <c r="K38" s="889">
        <f t="shared" si="12"/>
        <v>438.40739722400895</v>
      </c>
      <c r="L38" s="889">
        <f t="shared" si="0"/>
        <v>88.280094094667859</v>
      </c>
      <c r="M38" s="889">
        <f t="shared" si="1"/>
        <v>19.748833334435332</v>
      </c>
      <c r="N38" s="889">
        <f t="shared" si="2"/>
        <v>7.437119422573768</v>
      </c>
      <c r="P38" s="574"/>
    </row>
    <row r="39" spans="1:16" x14ac:dyDescent="0.3">
      <c r="A39" s="1998"/>
      <c r="B39" s="886">
        <v>2035</v>
      </c>
      <c r="C39" s="891">
        <f t="shared" si="5"/>
        <v>4267718666.8625846</v>
      </c>
      <c r="D39" s="881">
        <f t="shared" si="6"/>
        <v>862179131.48376918</v>
      </c>
      <c r="E39" s="881">
        <f t="shared" si="7"/>
        <v>19395.909808863002</v>
      </c>
      <c r="F39" s="881">
        <f t="shared" si="8"/>
        <v>193956468.20648831</v>
      </c>
      <c r="G39" s="881">
        <f t="shared" si="9"/>
        <v>72376587.883627385</v>
      </c>
      <c r="H39" s="885">
        <f t="shared" si="10"/>
        <v>9532365.5793485641</v>
      </c>
      <c r="I39" s="885">
        <f t="shared" si="11"/>
        <v>1068341.3577927153</v>
      </c>
      <c r="J39" s="885">
        <f t="shared" ref="J39" si="30">J38*(1+$H$49)</f>
        <v>439467.92610378662</v>
      </c>
      <c r="K39" s="889">
        <f t="shared" si="12"/>
        <v>447.70824527632499</v>
      </c>
      <c r="L39" s="889">
        <f t="shared" si="0"/>
        <v>90.44755200657022</v>
      </c>
      <c r="M39" s="889">
        <f t="shared" si="1"/>
        <v>20.347149570793441</v>
      </c>
      <c r="N39" s="889">
        <f t="shared" si="2"/>
        <v>7.5927205352287332</v>
      </c>
      <c r="P39" s="574"/>
    </row>
    <row r="40" spans="1:16" x14ac:dyDescent="0.3">
      <c r="A40" s="1998"/>
      <c r="B40" s="886">
        <v>2036</v>
      </c>
      <c r="C40" s="891">
        <f t="shared" si="5"/>
        <v>4453426216.1787109</v>
      </c>
      <c r="D40" s="881">
        <f t="shared" si="6"/>
        <v>902636302.27152967</v>
      </c>
      <c r="E40" s="881">
        <f t="shared" si="7"/>
        <v>19748.027215096197</v>
      </c>
      <c r="F40" s="881">
        <f t="shared" si="8"/>
        <v>204196201.87400204</v>
      </c>
      <c r="G40" s="881">
        <f t="shared" si="9"/>
        <v>75504358.889312223</v>
      </c>
      <c r="H40" s="885">
        <f t="shared" si="10"/>
        <v>9740515.6697898284</v>
      </c>
      <c r="I40" s="885">
        <f t="shared" si="11"/>
        <v>1091669.8116162303</v>
      </c>
      <c r="J40" s="885">
        <f t="shared" ref="J40" si="31">J39*(1+$H$49)</f>
        <v>449064.21023736149</v>
      </c>
      <c r="K40" s="889">
        <f t="shared" si="12"/>
        <v>457.20641156514898</v>
      </c>
      <c r="L40" s="889">
        <f t="shared" si="0"/>
        <v>92.668225468909483</v>
      </c>
      <c r="M40" s="889">
        <f t="shared" si="1"/>
        <v>20.963592564951746</v>
      </c>
      <c r="N40" s="889">
        <f t="shared" si="2"/>
        <v>7.7515771699324603</v>
      </c>
      <c r="P40" s="574"/>
    </row>
    <row r="41" spans="1:16" x14ac:dyDescent="0.3">
      <c r="A41" s="1998"/>
      <c r="B41" s="886">
        <v>2037</v>
      </c>
      <c r="C41" s="891">
        <f t="shared" si="5"/>
        <v>4647214732.5325155</v>
      </c>
      <c r="D41" s="881">
        <f t="shared" si="6"/>
        <v>944991898.3497901</v>
      </c>
      <c r="E41" s="881">
        <f t="shared" si="7"/>
        <v>20106.537034420307</v>
      </c>
      <c r="F41" s="881">
        <f t="shared" si="8"/>
        <v>214976531.82351235</v>
      </c>
      <c r="G41" s="881">
        <f t="shared" si="9"/>
        <v>78767297.243307725</v>
      </c>
      <c r="H41" s="885">
        <f t="shared" si="10"/>
        <v>9953210.9552081469</v>
      </c>
      <c r="I41" s="885">
        <f t="shared" si="11"/>
        <v>1115507.6688751045</v>
      </c>
      <c r="J41" s="885">
        <f t="shared" ref="J41" si="32">J40*(1+$H$49)</f>
        <v>458870.04019601794</v>
      </c>
      <c r="K41" s="889">
        <f t="shared" si="12"/>
        <v>466.9060822126753</v>
      </c>
      <c r="L41" s="889">
        <f t="shared" si="0"/>
        <v>94.943421032919105</v>
      </c>
      <c r="M41" s="889">
        <f t="shared" si="1"/>
        <v>21.598711490287773</v>
      </c>
      <c r="N41" s="889">
        <f t="shared" si="2"/>
        <v>7.9137574394614543</v>
      </c>
      <c r="P41" s="574"/>
    </row>
    <row r="42" spans="1:16" x14ac:dyDescent="0.3">
      <c r="A42" s="1998"/>
      <c r="B42" s="886">
        <v>2038</v>
      </c>
      <c r="C42" s="891">
        <f t="shared" si="5"/>
        <v>4849435854.9850092</v>
      </c>
      <c r="D42" s="881">
        <f t="shared" si="6"/>
        <v>989335002.03729475</v>
      </c>
      <c r="E42" s="881">
        <f t="shared" si="7"/>
        <v>20471.555316040518</v>
      </c>
      <c r="F42" s="881">
        <f t="shared" si="8"/>
        <v>226325998.28366166</v>
      </c>
      <c r="G42" s="881">
        <f t="shared" si="9"/>
        <v>82171244.233871907</v>
      </c>
      <c r="H42" s="885">
        <f t="shared" si="10"/>
        <v>10170550.685127437</v>
      </c>
      <c r="I42" s="885">
        <f t="shared" si="11"/>
        <v>1139866.0529751973</v>
      </c>
      <c r="J42" s="885">
        <f t="shared" ref="J42" si="33">J41*(1+$H$49)</f>
        <v>468889.99165219313</v>
      </c>
      <c r="K42" s="889">
        <f t="shared" si="12"/>
        <v>476.81153215001609</v>
      </c>
      <c r="L42" s="889">
        <f t="shared" si="0"/>
        <v>97.274477328353072</v>
      </c>
      <c r="M42" s="889">
        <f t="shared" si="1"/>
        <v>22.253072158090898</v>
      </c>
      <c r="N42" s="889">
        <f t="shared" si="2"/>
        <v>8.0793308816632976</v>
      </c>
      <c r="P42" s="574"/>
    </row>
    <row r="43" spans="1:16" x14ac:dyDescent="0.3">
      <c r="A43" s="1998"/>
      <c r="B43" s="886">
        <v>2039</v>
      </c>
      <c r="C43" s="891">
        <f t="shared" si="5"/>
        <v>5060456523.9873266</v>
      </c>
      <c r="D43" s="881">
        <f t="shared" si="6"/>
        <v>1035758875.780156</v>
      </c>
      <c r="E43" s="881">
        <f t="shared" si="7"/>
        <v>20843.200215943572</v>
      </c>
      <c r="F43" s="881">
        <f t="shared" si="8"/>
        <v>238274648.23531786</v>
      </c>
      <c r="G43" s="881">
        <f t="shared" si="9"/>
        <v>85722293.581887558</v>
      </c>
      <c r="H43" s="885">
        <f t="shared" si="10"/>
        <v>10392636.276298335</v>
      </c>
      <c r="I43" s="885">
        <f t="shared" si="11"/>
        <v>1164756.3302146408</v>
      </c>
      <c r="J43" s="885">
        <f t="shared" ref="J43" si="34">J42*(1+$H$49)</f>
        <v>479128.74019335827</v>
      </c>
      <c r="K43" s="889">
        <f t="shared" si="12"/>
        <v>486.92712700128942</v>
      </c>
      <c r="L43" s="889">
        <f t="shared" si="0"/>
        <v>99.662765851079527</v>
      </c>
      <c r="M43" s="889">
        <f t="shared" si="1"/>
        <v>22.927257521629237</v>
      </c>
      <c r="N43" s="889">
        <f t="shared" si="2"/>
        <v>8.2483684892723161</v>
      </c>
      <c r="P43" s="574"/>
    </row>
    <row r="44" spans="1:16" x14ac:dyDescent="0.3">
      <c r="A44" s="1998"/>
      <c r="B44" s="886">
        <v>2040</v>
      </c>
      <c r="C44" s="891">
        <f t="shared" si="5"/>
        <v>5280659647.2127285</v>
      </c>
      <c r="D44" s="881">
        <f t="shared" si="6"/>
        <v>1084361158.3014948</v>
      </c>
      <c r="E44" s="881">
        <f t="shared" si="7"/>
        <v>21221.592035144728</v>
      </c>
      <c r="F44" s="881">
        <f t="shared" si="8"/>
        <v>250854114.95901927</v>
      </c>
      <c r="G44" s="881">
        <f t="shared" si="9"/>
        <v>89426802.349796534</v>
      </c>
      <c r="H44" s="885">
        <f t="shared" si="10"/>
        <v>10619571.360022064</v>
      </c>
      <c r="I44" s="885">
        <f t="shared" si="11"/>
        <v>1190190.1150876693</v>
      </c>
      <c r="J44" s="885">
        <f t="shared" ref="J44" si="35">J43*(1+$H$49)</f>
        <v>489591.06350377755</v>
      </c>
      <c r="K44" s="889">
        <f t="shared" si="12"/>
        <v>497.25732500767873</v>
      </c>
      <c r="L44" s="889">
        <f t="shared" si="0"/>
        <v>102.10969177001151</v>
      </c>
      <c r="M44" s="889">
        <f t="shared" si="1"/>
        <v>23.621868195487888</v>
      </c>
      <c r="N44" s="889">
        <f t="shared" si="2"/>
        <v>8.4209427403490533</v>
      </c>
      <c r="P44" s="574"/>
    </row>
    <row r="45" spans="1:16" s="574" customFormat="1" x14ac:dyDescent="0.3">
      <c r="A45" s="1506"/>
      <c r="B45" s="886">
        <v>2041</v>
      </c>
      <c r="C45" s="891">
        <f t="shared" ref="C45:C47" si="36">C44*(1+C$49)</f>
        <v>5510444794.3619356</v>
      </c>
      <c r="D45" s="881">
        <f t="shared" ref="D45:D47" si="37">D44*(1+D$49)</f>
        <v>1135244069.9552703</v>
      </c>
      <c r="E45" s="881">
        <f t="shared" ref="E45:E47" si="38">E44*(1+E$49)</f>
        <v>21606.853258629053</v>
      </c>
      <c r="F45" s="881">
        <f t="shared" ref="F45:F47" si="39">F44*(1+F$49)</f>
        <v>264097701.78204587</v>
      </c>
      <c r="G45" s="881">
        <f t="shared" ref="G45:G47" si="40">G44*(1+G$49)</f>
        <v>93291402.321966216</v>
      </c>
      <c r="H45" s="885">
        <f t="shared" ref="H45:H47" si="41">H44*(1+H$49)</f>
        <v>10851461.830507683</v>
      </c>
      <c r="I45" s="885">
        <f t="shared" ref="I45:J47" si="42">I44*(1+$H$49)</f>
        <v>1216179.2757042649</v>
      </c>
      <c r="J45" s="885">
        <f t="shared" si="42"/>
        <v>500281.84359390818</v>
      </c>
      <c r="K45" s="889">
        <f t="shared" ref="K45:K47" si="43">C45/H45</f>
        <v>507.8066789923115</v>
      </c>
      <c r="L45" s="889">
        <f t="shared" ref="L45:L47" si="44">D45/H45</f>
        <v>104.61669475384942</v>
      </c>
      <c r="M45" s="889">
        <f t="shared" ref="M45:M47" si="45">F45/H45</f>
        <v>24.337522990641173</v>
      </c>
      <c r="N45" s="889">
        <f t="shared" ref="N45:N47" si="46">G45/H45</f>
        <v>8.5971276293566063</v>
      </c>
    </row>
    <row r="46" spans="1:16" s="574" customFormat="1" x14ac:dyDescent="0.3">
      <c r="A46" s="1506"/>
      <c r="B46" s="886">
        <v>2042</v>
      </c>
      <c r="C46" s="891">
        <f t="shared" si="36"/>
        <v>5750228922.2025518</v>
      </c>
      <c r="D46" s="881">
        <f t="shared" si="37"/>
        <v>1188514627.7161982</v>
      </c>
      <c r="E46" s="881">
        <f t="shared" si="38"/>
        <v>21999.10859499967</v>
      </c>
      <c r="F46" s="881">
        <f t="shared" si="39"/>
        <v>278040470.24683148</v>
      </c>
      <c r="G46" s="881">
        <f t="shared" si="40"/>
        <v>97323011.876861155</v>
      </c>
      <c r="H46" s="885">
        <f t="shared" si="41"/>
        <v>11088415.894285256</v>
      </c>
      <c r="I46" s="885">
        <f t="shared" si="42"/>
        <v>1242735.9393281473</v>
      </c>
      <c r="J46" s="885">
        <f t="shared" si="42"/>
        <v>511206.06907848205</v>
      </c>
      <c r="K46" s="889">
        <f t="shared" si="43"/>
        <v>518.57983836682229</v>
      </c>
      <c r="L46" s="889">
        <f t="shared" si="44"/>
        <v>107.18524981812185</v>
      </c>
      <c r="M46" s="889">
        <f t="shared" si="45"/>
        <v>25.074859465735578</v>
      </c>
      <c r="N46" s="889">
        <f t="shared" si="46"/>
        <v>8.7769986988871374</v>
      </c>
    </row>
    <row r="47" spans="1:16" s="574" customFormat="1" x14ac:dyDescent="0.3">
      <c r="A47" s="1506"/>
      <c r="B47" s="886">
        <v>2043</v>
      </c>
      <c r="C47" s="891">
        <f t="shared" si="36"/>
        <v>6000447131.1582012</v>
      </c>
      <c r="D47" s="881">
        <f t="shared" si="37"/>
        <v>1244284870.2579257</v>
      </c>
      <c r="E47" s="881">
        <f t="shared" si="38"/>
        <v>22398.485016845785</v>
      </c>
      <c r="F47" s="881">
        <f t="shared" si="39"/>
        <v>292719332.93413723</v>
      </c>
      <c r="G47" s="881">
        <f t="shared" si="40"/>
        <v>101528848.37227334</v>
      </c>
      <c r="H47" s="885">
        <f t="shared" si="41"/>
        <v>11330544.120698029</v>
      </c>
      <c r="I47" s="885">
        <f t="shared" si="42"/>
        <v>1269872.4980356912</v>
      </c>
      <c r="J47" s="885">
        <f t="shared" si="42"/>
        <v>522368.83750433184</v>
      </c>
      <c r="K47" s="889">
        <f t="shared" si="43"/>
        <v>529.58155118048626</v>
      </c>
      <c r="L47" s="889">
        <f t="shared" si="44"/>
        <v>109.81686819302287</v>
      </c>
      <c r="M47" s="889">
        <f t="shared" si="45"/>
        <v>25.834534495074536</v>
      </c>
      <c r="N47" s="889">
        <f t="shared" si="46"/>
        <v>8.9606330720521967</v>
      </c>
    </row>
    <row r="49" spans="1:25" x14ac:dyDescent="0.3">
      <c r="B49" t="s">
        <v>685</v>
      </c>
      <c r="C49" s="879">
        <f>(C19/C4)^(1/($B$19-$B$4))-1</f>
        <v>4.3514477830528975E-2</v>
      </c>
      <c r="D49" s="879">
        <f t="shared" ref="D49:H49" si="47">(D19/D4)^(1/($B$19-$B$4))-1</f>
        <v>4.6924321536448765E-2</v>
      </c>
      <c r="E49" s="879">
        <f t="shared" si="47"/>
        <v>1.8154209299957369E-2</v>
      </c>
      <c r="F49" s="879">
        <f t="shared" si="47"/>
        <v>5.2793978784004159E-2</v>
      </c>
      <c r="G49" s="879">
        <f t="shared" si="47"/>
        <v>4.3215231570655321E-2</v>
      </c>
      <c r="H49" s="879">
        <f t="shared" si="47"/>
        <v>2.1836142215549526E-2</v>
      </c>
      <c r="J49" s="1010"/>
    </row>
    <row r="52" spans="1:25" x14ac:dyDescent="0.3">
      <c r="A52" s="427" t="s">
        <v>7</v>
      </c>
      <c r="B52" s="886">
        <v>2023</v>
      </c>
      <c r="C52" s="886">
        <v>2024</v>
      </c>
      <c r="D52" s="886">
        <v>2025</v>
      </c>
      <c r="E52" s="886">
        <v>2026</v>
      </c>
      <c r="F52" s="886">
        <v>2027</v>
      </c>
      <c r="G52" s="886">
        <v>2028</v>
      </c>
      <c r="H52" s="886">
        <v>2029</v>
      </c>
      <c r="I52" s="886">
        <v>2030</v>
      </c>
      <c r="J52" s="886">
        <v>2031</v>
      </c>
      <c r="K52" s="886">
        <v>2032</v>
      </c>
      <c r="L52" s="886">
        <v>2033</v>
      </c>
      <c r="M52" s="886">
        <v>2034</v>
      </c>
      <c r="N52" s="886">
        <v>2035</v>
      </c>
      <c r="O52" s="886">
        <v>2036</v>
      </c>
      <c r="P52" s="886">
        <v>2037</v>
      </c>
      <c r="Q52" s="886">
        <v>2038</v>
      </c>
      <c r="R52" s="886">
        <v>2039</v>
      </c>
      <c r="S52" s="886">
        <v>2040</v>
      </c>
      <c r="T52" s="886">
        <v>2041</v>
      </c>
      <c r="U52" s="886">
        <v>2042</v>
      </c>
      <c r="V52" s="886">
        <v>2043</v>
      </c>
      <c r="W52" s="574"/>
    </row>
    <row r="53" spans="1:25" s="574" customFormat="1" x14ac:dyDescent="0.3">
      <c r="A53" s="427" t="s">
        <v>980</v>
      </c>
      <c r="B53" s="885">
        <f t="array" ref="B53:V53">TRANSPOSE(I27:I47)</f>
        <v>824394.19778446713</v>
      </c>
      <c r="C53" s="885">
        <v>842395.78672896267</v>
      </c>
      <c r="D53" s="885">
        <v>860790.46092975605</v>
      </c>
      <c r="E53" s="885">
        <v>879586.80385240668</v>
      </c>
      <c r="F53" s="885">
        <v>898793.58639224852</v>
      </c>
      <c r="G53" s="885">
        <v>918419.77096713346</v>
      </c>
      <c r="H53" s="885">
        <v>938474.51569954422</v>
      </c>
      <c r="I53" s="885">
        <v>958967.17869002849</v>
      </c>
      <c r="J53" s="885">
        <v>979907.32238394825</v>
      </c>
      <c r="K53" s="885">
        <v>1001304.7180335824</v>
      </c>
      <c r="L53" s="885">
        <v>1023169.3502576645</v>
      </c>
      <c r="M53" s="885">
        <v>1045511.4217004823</v>
      </c>
      <c r="N53" s="885">
        <v>1068341.3577927153</v>
      </c>
      <c r="O53" s="885">
        <v>1091669.8116162303</v>
      </c>
      <c r="P53" s="885">
        <v>1115507.6688751045</v>
      </c>
      <c r="Q53" s="885">
        <v>1139866.0529751973</v>
      </c>
      <c r="R53" s="885">
        <v>1164756.3302146408</v>
      </c>
      <c r="S53" s="885">
        <v>1190190.1150876693</v>
      </c>
      <c r="T53" s="885">
        <v>1216179.2757042649</v>
      </c>
      <c r="U53" s="885">
        <v>1242735.9393281473</v>
      </c>
      <c r="V53" s="885">
        <v>1269872.4980356912</v>
      </c>
    </row>
    <row r="54" spans="1:25" s="574" customFormat="1" x14ac:dyDescent="0.3">
      <c r="A54" s="427" t="s">
        <v>981</v>
      </c>
      <c r="B54" s="885">
        <f t="array" ref="B54:V54">TRANSPOSE(J27:J47)</f>
        <v>339118.95832701528</v>
      </c>
      <c r="C54" s="885">
        <v>346524.00812903303</v>
      </c>
      <c r="D54" s="885">
        <v>354090.75565164082</v>
      </c>
      <c r="E54" s="885">
        <v>361822.73174926144</v>
      </c>
      <c r="F54" s="885">
        <v>369723.54437655694</v>
      </c>
      <c r="G54" s="885">
        <v>377796.88027200045</v>
      </c>
      <c r="H54" s="885">
        <v>386046.5066782108</v>
      </c>
      <c r="I54" s="885">
        <v>394476.27309985232</v>
      </c>
      <c r="J54" s="885">
        <v>403090.11309992062</v>
      </c>
      <c r="K54" s="885">
        <v>411892.04613525246</v>
      </c>
      <c r="L54" s="885">
        <v>420886.17943211552</v>
      </c>
      <c r="M54" s="885">
        <v>430076.70990275446</v>
      </c>
      <c r="N54" s="885">
        <v>439467.92610378662</v>
      </c>
      <c r="O54" s="885">
        <v>449064.21023736149</v>
      </c>
      <c r="P54" s="885">
        <v>458870.04019601794</v>
      </c>
      <c r="Q54" s="885">
        <v>468889.99165219313</v>
      </c>
      <c r="R54" s="885">
        <v>479128.74019335827</v>
      </c>
      <c r="S54" s="885">
        <v>489591.06350377755</v>
      </c>
      <c r="T54" s="885">
        <v>500281.84359390818</v>
      </c>
      <c r="U54" s="885">
        <v>511206.06907848205</v>
      </c>
      <c r="V54" s="885">
        <v>522368.83750433184</v>
      </c>
    </row>
    <row r="55" spans="1:25" s="574" customFormat="1" x14ac:dyDescent="0.3">
      <c r="A55" s="427"/>
      <c r="B55" s="885"/>
      <c r="C55" s="1682"/>
      <c r="D55" s="1682"/>
      <c r="E55" s="1682"/>
      <c r="F55" s="1682"/>
      <c r="G55" s="1682"/>
      <c r="H55" s="1682"/>
      <c r="I55" s="1682"/>
      <c r="J55" s="1682"/>
      <c r="K55" s="1682"/>
      <c r="L55" s="1682"/>
      <c r="M55" s="1682"/>
      <c r="N55" s="1682"/>
      <c r="O55" s="1682"/>
      <c r="P55" s="1682"/>
      <c r="Q55" s="1682"/>
      <c r="R55" s="1682"/>
      <c r="S55" s="1682"/>
      <c r="T55" s="1682"/>
      <c r="U55" s="1682"/>
      <c r="V55" s="1682"/>
    </row>
    <row r="56" spans="1:25" x14ac:dyDescent="0.3">
      <c r="A56" s="427" t="s">
        <v>722</v>
      </c>
      <c r="B56" s="998">
        <f>AVERAGE(O4:O19)</f>
        <v>3.9049297725427291E-2</v>
      </c>
      <c r="G56" s="574"/>
      <c r="H56" s="574"/>
      <c r="K56" s="574"/>
      <c r="L56" s="574"/>
      <c r="M56" s="574"/>
      <c r="N56" s="574"/>
      <c r="O56" s="574"/>
      <c r="P56" s="574"/>
      <c r="Q56" s="574"/>
      <c r="R56" s="574"/>
      <c r="S56" s="574"/>
      <c r="T56" s="574"/>
      <c r="U56" s="574"/>
      <c r="V56" s="574"/>
      <c r="W56" s="574"/>
      <c r="X56" s="574"/>
      <c r="Y56" s="574"/>
    </row>
    <row r="57" spans="1:25" x14ac:dyDescent="0.3">
      <c r="A57" s="427" t="s">
        <v>723</v>
      </c>
      <c r="B57" s="998">
        <f>AVERAGE(P4:P19)</f>
        <v>1.7628214564562972E-2</v>
      </c>
      <c r="C57" s="874"/>
      <c r="D57" s="874"/>
      <c r="E57" s="874"/>
      <c r="F57" s="874"/>
      <c r="G57" s="874"/>
      <c r="H57" s="574"/>
      <c r="K57" s="574"/>
      <c r="L57" s="574"/>
      <c r="M57" s="574"/>
      <c r="N57" s="574"/>
      <c r="O57" s="574"/>
      <c r="P57" s="574"/>
      <c r="Q57" s="574"/>
      <c r="R57" s="574"/>
      <c r="S57" s="574"/>
      <c r="T57" s="574"/>
      <c r="U57" s="574"/>
      <c r="V57" s="574"/>
      <c r="W57" s="574"/>
      <c r="X57" s="574"/>
      <c r="Y57" s="574"/>
    </row>
    <row r="58" spans="1:25" x14ac:dyDescent="0.3">
      <c r="B58" s="874"/>
      <c r="C58" s="874"/>
      <c r="D58" s="874"/>
      <c r="E58" s="874"/>
      <c r="F58" s="874"/>
      <c r="G58" s="874"/>
      <c r="H58" s="574"/>
      <c r="K58" s="574"/>
      <c r="L58" s="574"/>
      <c r="M58" s="574"/>
      <c r="N58" s="574"/>
      <c r="O58" s="574"/>
      <c r="P58" s="574"/>
      <c r="Q58" s="574"/>
      <c r="R58" s="574"/>
      <c r="S58" s="574"/>
      <c r="T58" s="574"/>
      <c r="U58" s="574"/>
      <c r="V58" s="574"/>
      <c r="W58" s="574"/>
      <c r="X58" s="574"/>
      <c r="Y58" s="574"/>
    </row>
    <row r="59" spans="1:25" x14ac:dyDescent="0.3">
      <c r="A59" s="1347" t="s">
        <v>974</v>
      </c>
      <c r="B59" s="1661"/>
      <c r="C59" s="874"/>
      <c r="D59" s="874"/>
      <c r="E59" s="874"/>
      <c r="F59" s="874"/>
      <c r="G59" s="874"/>
      <c r="H59" s="574"/>
      <c r="K59" s="574"/>
      <c r="L59" s="574"/>
      <c r="M59" s="574"/>
      <c r="N59" s="574"/>
      <c r="O59" s="574"/>
      <c r="P59" s="574"/>
      <c r="Q59" s="574"/>
      <c r="R59" s="574"/>
      <c r="S59" s="574"/>
      <c r="T59" s="574"/>
      <c r="U59" s="574"/>
      <c r="V59" s="574"/>
      <c r="W59" s="574"/>
      <c r="X59" s="574"/>
      <c r="Y59" s="574"/>
    </row>
    <row r="60" spans="1:25" x14ac:dyDescent="0.3">
      <c r="A60" s="1347" t="s">
        <v>975</v>
      </c>
      <c r="B60" s="1680">
        <f>18000*12</f>
        <v>216000</v>
      </c>
      <c r="C60" s="874"/>
      <c r="D60" s="874"/>
      <c r="E60" s="874"/>
      <c r="F60" s="874"/>
      <c r="G60" s="874"/>
      <c r="H60" s="574"/>
    </row>
    <row r="61" spans="1:25" x14ac:dyDescent="0.3">
      <c r="A61" s="1347" t="s">
        <v>976</v>
      </c>
      <c r="B61" s="1680">
        <v>22150</v>
      </c>
    </row>
    <row r="62" spans="1:25" x14ac:dyDescent="0.3">
      <c r="A62" s="1347" t="s">
        <v>977</v>
      </c>
      <c r="B62" s="1680">
        <f>5458*2.5</f>
        <v>13645</v>
      </c>
      <c r="C62" s="877"/>
      <c r="D62" s="866"/>
      <c r="E62" s="877"/>
      <c r="F62" s="877">
        <v>18000</v>
      </c>
      <c r="G62" s="866">
        <f>F62*5</f>
        <v>90000</v>
      </c>
      <c r="H62" s="878"/>
      <c r="I62" s="878"/>
    </row>
    <row r="63" spans="1:25" x14ac:dyDescent="0.3">
      <c r="A63" s="1347" t="s">
        <v>978</v>
      </c>
      <c r="B63" s="1680">
        <v>39735</v>
      </c>
      <c r="C63" s="877"/>
      <c r="D63" s="866"/>
      <c r="E63" s="877"/>
      <c r="F63" s="877"/>
      <c r="G63" s="866">
        <v>22150</v>
      </c>
      <c r="H63" s="878"/>
      <c r="I63" s="878"/>
    </row>
    <row r="64" spans="1:25" x14ac:dyDescent="0.3">
      <c r="A64" s="1347" t="s">
        <v>979</v>
      </c>
      <c r="B64" s="1680">
        <f>SUM(B60:B63)</f>
        <v>291530</v>
      </c>
      <c r="C64" s="877"/>
      <c r="D64" s="866"/>
      <c r="E64" s="877"/>
      <c r="F64" s="877"/>
      <c r="G64" s="866">
        <f>5458*2</f>
        <v>10916</v>
      </c>
      <c r="H64" s="878"/>
      <c r="I64" s="878"/>
    </row>
    <row r="65" spans="2:9" x14ac:dyDescent="0.3">
      <c r="B65" s="866"/>
      <c r="C65" s="877"/>
      <c r="D65" s="866"/>
      <c r="E65" s="877"/>
      <c r="F65" s="877"/>
      <c r="G65" s="866">
        <v>39735</v>
      </c>
      <c r="H65" s="878"/>
      <c r="I65" s="878"/>
    </row>
    <row r="66" spans="2:9" x14ac:dyDescent="0.3">
      <c r="B66" s="866"/>
    </row>
    <row r="67" spans="2:9" x14ac:dyDescent="0.3">
      <c r="B67" s="866"/>
      <c r="C67" s="877"/>
      <c r="D67" s="866"/>
      <c r="E67" s="877"/>
      <c r="F67" s="877"/>
      <c r="G67" s="866"/>
      <c r="H67" s="878"/>
      <c r="I67" s="878"/>
    </row>
    <row r="68" spans="2:9" x14ac:dyDescent="0.3">
      <c r="B68" s="877"/>
      <c r="C68" s="877"/>
      <c r="D68" s="866"/>
      <c r="E68" s="877"/>
      <c r="F68" s="877"/>
      <c r="G68" s="866"/>
      <c r="H68" s="878"/>
      <c r="I68" s="878"/>
    </row>
    <row r="69" spans="2:9" x14ac:dyDescent="0.3">
      <c r="B69" s="877"/>
      <c r="C69" s="877"/>
      <c r="D69" s="866"/>
      <c r="E69" s="877"/>
      <c r="F69" s="877"/>
      <c r="G69" s="866"/>
      <c r="H69" s="878"/>
      <c r="I69" s="878"/>
    </row>
    <row r="70" spans="2:9" x14ac:dyDescent="0.3">
      <c r="B70" s="877"/>
      <c r="C70" s="877"/>
      <c r="D70" s="866"/>
      <c r="E70" s="877"/>
      <c r="F70" s="877"/>
      <c r="G70" s="866"/>
      <c r="H70" s="878"/>
      <c r="I70" s="878"/>
    </row>
    <row r="72" spans="2:9" x14ac:dyDescent="0.3">
      <c r="B72" s="877"/>
      <c r="C72" s="877"/>
      <c r="D72" s="877"/>
      <c r="E72" s="877"/>
    </row>
    <row r="73" spans="2:9" x14ac:dyDescent="0.3">
      <c r="B73" s="877"/>
      <c r="C73" s="877"/>
      <c r="D73" s="877"/>
      <c r="E73" s="877"/>
    </row>
    <row r="74" spans="2:9" x14ac:dyDescent="0.3">
      <c r="B74" s="866"/>
      <c r="C74" s="866"/>
      <c r="D74" s="866"/>
      <c r="E74" s="866"/>
    </row>
    <row r="75" spans="2:9" x14ac:dyDescent="0.3">
      <c r="B75" s="877"/>
      <c r="C75" s="877"/>
      <c r="D75" s="877"/>
      <c r="E75" s="877"/>
    </row>
    <row r="76" spans="2:9" x14ac:dyDescent="0.3">
      <c r="B76" s="877"/>
      <c r="C76" s="877"/>
      <c r="D76" s="877"/>
      <c r="E76" s="877"/>
    </row>
    <row r="77" spans="2:9" x14ac:dyDescent="0.3">
      <c r="B77" s="866"/>
      <c r="C77" s="866"/>
      <c r="D77" s="866"/>
      <c r="E77" s="866"/>
    </row>
    <row r="78" spans="2:9" x14ac:dyDescent="0.3">
      <c r="B78" s="878"/>
      <c r="C78" s="878"/>
      <c r="D78" s="878"/>
      <c r="E78" s="878"/>
    </row>
  </sheetData>
  <mergeCells count="3">
    <mergeCell ref="B1:K1"/>
    <mergeCell ref="A4:A19"/>
    <mergeCell ref="A20:A4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K88"/>
  <sheetViews>
    <sheetView tabSelected="1" zoomScale="70" zoomScaleNormal="70" workbookViewId="0">
      <selection activeCell="K16" sqref="K16"/>
    </sheetView>
  </sheetViews>
  <sheetFormatPr defaultRowHeight="14.4" x14ac:dyDescent="0.3"/>
  <cols>
    <col min="1" max="1" width="4.33203125" customWidth="1"/>
    <col min="2" max="2" width="39.109375" customWidth="1"/>
    <col min="3" max="3" width="50.5546875" bestFit="1" customWidth="1"/>
    <col min="4" max="4" width="22.6640625" customWidth="1"/>
    <col min="5" max="5" width="22.6640625" style="574" customWidth="1"/>
    <col min="6" max="6" width="23.109375" customWidth="1"/>
    <col min="7" max="7" width="23.44140625" customWidth="1"/>
    <col min="8" max="8" width="51" customWidth="1"/>
    <col min="9" max="9" width="26.88671875" bestFit="1" customWidth="1"/>
    <col min="11" max="11" width="51" bestFit="1" customWidth="1"/>
    <col min="12" max="12" width="11" customWidth="1"/>
  </cols>
  <sheetData>
    <row r="1" spans="2:10" s="574" customFormat="1" ht="15" x14ac:dyDescent="0.25"/>
    <row r="2" spans="2:10" s="574" customFormat="1" ht="27" thickBot="1" x14ac:dyDescent="0.3">
      <c r="B2" s="899" t="s">
        <v>711</v>
      </c>
    </row>
    <row r="3" spans="2:10" ht="21" thickBot="1" x14ac:dyDescent="0.3">
      <c r="H3" s="1755" t="s">
        <v>1023</v>
      </c>
      <c r="I3" s="1756"/>
    </row>
    <row r="4" spans="2:10" ht="18.75" thickBot="1" x14ac:dyDescent="0.3">
      <c r="B4" s="815" t="s">
        <v>623</v>
      </c>
      <c r="C4" s="816"/>
      <c r="D4" s="816"/>
      <c r="E4" s="816"/>
      <c r="F4" s="817"/>
      <c r="H4" s="1717" t="s">
        <v>597</v>
      </c>
      <c r="I4" s="1718" t="s">
        <v>910</v>
      </c>
    </row>
    <row r="5" spans="2:10" ht="18" x14ac:dyDescent="0.25">
      <c r="B5" s="818"/>
      <c r="C5" s="114"/>
      <c r="D5" s="114"/>
      <c r="E5" s="114"/>
      <c r="F5" s="819"/>
      <c r="H5" s="1537" t="s">
        <v>583</v>
      </c>
      <c r="I5" s="1013">
        <v>1</v>
      </c>
    </row>
    <row r="6" spans="2:10" ht="18" x14ac:dyDescent="0.25">
      <c r="B6" s="820" t="s">
        <v>624</v>
      </c>
      <c r="C6" s="821"/>
      <c r="D6" s="860">
        <f>D34/D16</f>
        <v>3.8831872334884916</v>
      </c>
      <c r="E6" s="860">
        <f>E34/E16</f>
        <v>2.4438516462393887</v>
      </c>
      <c r="F6" s="822">
        <f>F34/F16</f>
        <v>1.3806080806282011</v>
      </c>
      <c r="H6" s="1537" t="s">
        <v>639</v>
      </c>
      <c r="I6" s="1013">
        <v>2</v>
      </c>
    </row>
    <row r="7" spans="2:10" ht="18.75" thickBot="1" x14ac:dyDescent="0.3">
      <c r="B7" s="823"/>
      <c r="C7" s="824"/>
      <c r="D7" s="824"/>
      <c r="E7" s="824"/>
      <c r="F7" s="825"/>
      <c r="H7" s="1537" t="s">
        <v>660</v>
      </c>
      <c r="I7" s="1013">
        <v>3</v>
      </c>
    </row>
    <row r="8" spans="2:10" ht="15" thickBot="1" x14ac:dyDescent="0.35">
      <c r="B8" s="826"/>
      <c r="C8" s="827"/>
      <c r="D8" s="827"/>
      <c r="E8" s="827"/>
      <c r="F8" s="828"/>
      <c r="H8" s="1759" t="s">
        <v>1026</v>
      </c>
      <c r="I8" s="1761">
        <v>3</v>
      </c>
      <c r="J8" s="574"/>
    </row>
    <row r="9" spans="2:10" ht="16.2" thickBot="1" x14ac:dyDescent="0.35">
      <c r="B9" s="829" t="s">
        <v>625</v>
      </c>
      <c r="C9" s="830"/>
      <c r="D9" s="830"/>
      <c r="E9" s="830"/>
      <c r="F9" s="831"/>
      <c r="H9" s="1760"/>
      <c r="I9" s="1762"/>
      <c r="J9" s="574"/>
    </row>
    <row r="10" spans="2:10" ht="15.75" customHeight="1" x14ac:dyDescent="0.25">
      <c r="B10" s="832"/>
      <c r="C10" s="833"/>
      <c r="D10" s="114"/>
      <c r="E10" s="114"/>
      <c r="F10" s="834"/>
    </row>
    <row r="11" spans="2:10" ht="18" customHeight="1" x14ac:dyDescent="0.25">
      <c r="B11" s="835"/>
      <c r="C11" s="836"/>
      <c r="D11" s="837"/>
      <c r="E11" s="837"/>
      <c r="F11" s="838"/>
      <c r="J11" s="996"/>
    </row>
    <row r="12" spans="2:10" ht="15.75" thickBot="1" x14ac:dyDescent="0.3">
      <c r="B12" s="839" t="s">
        <v>626</v>
      </c>
      <c r="C12" s="836"/>
      <c r="D12" s="840" t="s">
        <v>728</v>
      </c>
      <c r="E12" s="840" t="s">
        <v>368</v>
      </c>
      <c r="F12" s="841" t="s">
        <v>383</v>
      </c>
    </row>
    <row r="13" spans="2:10" ht="21" thickBot="1" x14ac:dyDescent="0.3">
      <c r="B13" s="839"/>
      <c r="C13" s="836"/>
      <c r="D13" s="840"/>
      <c r="E13" s="840"/>
      <c r="F13" s="841"/>
      <c r="H13" s="1757" t="s">
        <v>1022</v>
      </c>
      <c r="I13" s="1758"/>
    </row>
    <row r="14" spans="2:10" ht="18" x14ac:dyDescent="0.25">
      <c r="B14" s="842" t="s">
        <v>627</v>
      </c>
      <c r="C14" s="836"/>
      <c r="D14" s="843">
        <f>ProjectCost!D91</f>
        <v>631700000</v>
      </c>
      <c r="E14" s="843">
        <f>ProjectCost!G91</f>
        <v>553325257.10606813</v>
      </c>
      <c r="F14" s="844">
        <f>ProjectCost!H91</f>
        <v>467224506.66177428</v>
      </c>
      <c r="H14" s="1719" t="s">
        <v>774</v>
      </c>
      <c r="I14" s="1720" t="s">
        <v>910</v>
      </c>
    </row>
    <row r="15" spans="2:10" ht="18.75" thickBot="1" x14ac:dyDescent="0.3">
      <c r="B15" s="842"/>
      <c r="C15" s="836"/>
      <c r="D15" s="845"/>
      <c r="E15" s="845"/>
      <c r="F15" s="846"/>
      <c r="H15" s="1721" t="s">
        <v>1028</v>
      </c>
      <c r="I15" s="1722">
        <v>4</v>
      </c>
    </row>
    <row r="16" spans="2:10" ht="18" x14ac:dyDescent="0.25">
      <c r="B16" s="847" t="s">
        <v>629</v>
      </c>
      <c r="C16" s="836"/>
      <c r="D16" s="843">
        <f>D14+D15</f>
        <v>631700000</v>
      </c>
      <c r="E16" s="843">
        <f>E14+E15</f>
        <v>553325257.10606813</v>
      </c>
      <c r="F16" s="844">
        <f>F14+F15</f>
        <v>467224506.66177428</v>
      </c>
      <c r="H16" s="1721" t="s">
        <v>1024</v>
      </c>
      <c r="I16" s="1722">
        <v>1</v>
      </c>
    </row>
    <row r="17" spans="2:9" ht="18.75" thickBot="1" x14ac:dyDescent="0.3">
      <c r="B17" s="848"/>
      <c r="C17" s="849"/>
      <c r="D17" s="824"/>
      <c r="E17" s="824"/>
      <c r="F17" s="850"/>
      <c r="H17" s="1721" t="s">
        <v>1025</v>
      </c>
      <c r="I17" s="1722">
        <v>2</v>
      </c>
    </row>
    <row r="18" spans="2:9" ht="18.75" thickBot="1" x14ac:dyDescent="0.3">
      <c r="B18" s="851"/>
      <c r="C18" s="852"/>
      <c r="D18" s="853"/>
      <c r="E18" s="853"/>
      <c r="F18" s="828"/>
      <c r="H18" s="1721" t="s">
        <v>1029</v>
      </c>
      <c r="I18" s="1722">
        <v>3</v>
      </c>
    </row>
    <row r="19" spans="2:9" ht="16.2" thickBot="1" x14ac:dyDescent="0.35">
      <c r="B19" s="829" t="s">
        <v>630</v>
      </c>
      <c r="C19" s="830"/>
      <c r="D19" s="830"/>
      <c r="E19" s="830"/>
      <c r="F19" s="831"/>
      <c r="H19" s="1769" t="s">
        <v>1027</v>
      </c>
      <c r="I19" s="1771">
        <v>1</v>
      </c>
    </row>
    <row r="20" spans="2:9" ht="15" thickBot="1" x14ac:dyDescent="0.35">
      <c r="B20" s="832"/>
      <c r="C20" s="833"/>
      <c r="D20" s="114"/>
      <c r="E20" s="114"/>
      <c r="F20" s="834"/>
      <c r="H20" s="1770"/>
      <c r="I20" s="1772"/>
    </row>
    <row r="21" spans="2:9" ht="15.75" thickBot="1" x14ac:dyDescent="0.3">
      <c r="B21" s="839"/>
      <c r="C21" s="365" t="s">
        <v>631</v>
      </c>
      <c r="D21" s="840" t="s">
        <v>728</v>
      </c>
      <c r="E21" s="840" t="s">
        <v>368</v>
      </c>
      <c r="F21" s="841" t="s">
        <v>383</v>
      </c>
    </row>
    <row r="22" spans="2:9" ht="16.5" thickBot="1" x14ac:dyDescent="0.3">
      <c r="B22" s="854"/>
      <c r="C22" s="855"/>
      <c r="D22" s="855"/>
      <c r="E22" s="855"/>
      <c r="F22" s="838"/>
      <c r="H22" s="1767" t="s">
        <v>911</v>
      </c>
      <c r="I22" s="1768"/>
    </row>
    <row r="23" spans="2:9" ht="15" x14ac:dyDescent="0.25">
      <c r="B23" s="856"/>
      <c r="C23" s="837" t="s">
        <v>768</v>
      </c>
      <c r="D23" s="843">
        <f>BenefitSummary!E209</f>
        <v>1946351493.6218312</v>
      </c>
      <c r="E23" s="843">
        <f>BenefitSummary!F209</f>
        <v>1056909667.8246722</v>
      </c>
      <c r="F23" s="844">
        <f>BenefitSummary!G209</f>
        <v>497557501.01765037</v>
      </c>
      <c r="H23" s="1534"/>
      <c r="I23" s="1535"/>
    </row>
    <row r="24" spans="2:9" ht="15" x14ac:dyDescent="0.25">
      <c r="B24" s="856"/>
      <c r="C24" s="837" t="s">
        <v>958</v>
      </c>
      <c r="D24" s="843">
        <f>BenefitSummary!E210</f>
        <v>43996729.083715953</v>
      </c>
      <c r="E24" s="843">
        <f>BenefitSummary!F210</f>
        <v>25427146.208423302</v>
      </c>
      <c r="F24" s="844">
        <f>BenefitSummary!G210</f>
        <v>13133704.371382557</v>
      </c>
      <c r="H24" s="842" t="s">
        <v>631</v>
      </c>
      <c r="I24" s="1422" t="s">
        <v>590</v>
      </c>
    </row>
    <row r="25" spans="2:9" ht="15" x14ac:dyDescent="0.25">
      <c r="B25" s="842"/>
      <c r="C25" s="857" t="s">
        <v>770</v>
      </c>
      <c r="D25" s="843">
        <f>BenefitSummary!E211+BenefitSummary!E212</f>
        <v>-149638983.36728284</v>
      </c>
      <c r="E25" s="843">
        <f>BenefitSummary!F211+BenefitSummary!F212</f>
        <v>-105603959.02263594</v>
      </c>
      <c r="F25" s="844">
        <f>BenefitSummary!G211+BenefitSummary!G212</f>
        <v>-68129200.119108856</v>
      </c>
      <c r="H25" s="1533"/>
      <c r="I25" s="1663"/>
    </row>
    <row r="26" spans="2:9" ht="15" x14ac:dyDescent="0.25">
      <c r="B26" s="842"/>
      <c r="C26" s="857" t="s">
        <v>878</v>
      </c>
      <c r="D26" s="843">
        <f>BenefitSummary!E213</f>
        <v>0</v>
      </c>
      <c r="E26" s="843">
        <f>BenefitSummary!F213</f>
        <v>0</v>
      </c>
      <c r="F26" s="844">
        <f>BenefitSummary!G213</f>
        <v>0</v>
      </c>
      <c r="H26" s="842" t="s">
        <v>768</v>
      </c>
      <c r="I26" s="1664">
        <f>-Travel.Time.Costs!R82</f>
        <v>-401302593.49652314</v>
      </c>
    </row>
    <row r="27" spans="2:9" ht="15" x14ac:dyDescent="0.25">
      <c r="B27" s="842"/>
      <c r="C27" s="837" t="s">
        <v>879</v>
      </c>
      <c r="D27" s="843">
        <f>BenefitSummary!E214</f>
        <v>3485609.4679585625</v>
      </c>
      <c r="E27" s="843">
        <f>BenefitSummary!F214</f>
        <v>2520764.9621138466</v>
      </c>
      <c r="F27" s="844">
        <f>BenefitSummary!G214</f>
        <v>1782189.6116655997</v>
      </c>
      <c r="H27" s="856" t="s">
        <v>770</v>
      </c>
      <c r="I27" s="1664">
        <f>-'VOC.1 '!R76-VOC.2!N165</f>
        <v>-149031909.03440994</v>
      </c>
    </row>
    <row r="28" spans="2:9" ht="15" x14ac:dyDescent="0.25">
      <c r="B28" s="842"/>
      <c r="C28" s="857" t="s">
        <v>771</v>
      </c>
      <c r="D28" s="843">
        <f>BenefitSummary!E215</f>
        <v>308516103.93287569</v>
      </c>
      <c r="E28" s="843">
        <f>BenefitSummary!F215</f>
        <v>192603338.6502364</v>
      </c>
      <c r="F28" s="844">
        <f>BenefitSummary!G215</f>
        <v>109716723.41215144</v>
      </c>
      <c r="H28" s="856" t="s">
        <v>878</v>
      </c>
      <c r="I28" s="1664"/>
    </row>
    <row r="29" spans="2:9" s="574" customFormat="1" ht="15" x14ac:dyDescent="0.25">
      <c r="B29" s="842"/>
      <c r="C29" s="857" t="s">
        <v>921</v>
      </c>
      <c r="D29" s="843">
        <f>BenefitSummary!E216</f>
        <v>15294114.069890587</v>
      </c>
      <c r="E29" s="843">
        <f>BenefitSummary!F216</f>
        <v>9349825.0032255147</v>
      </c>
      <c r="F29" s="844">
        <f>BenefitSummary!G216</f>
        <v>5193266.6840885719</v>
      </c>
      <c r="H29" s="842" t="s">
        <v>879</v>
      </c>
      <c r="I29" s="1664">
        <f>-Emission.Costs!L418</f>
        <v>12200667.154861577</v>
      </c>
    </row>
    <row r="30" spans="2:9" ht="15" x14ac:dyDescent="0.25">
      <c r="B30" s="842"/>
      <c r="C30" s="837" t="s">
        <v>769</v>
      </c>
      <c r="D30" s="843">
        <f>BenefitSummary!E218</f>
        <v>-23808285.560371891</v>
      </c>
      <c r="E30" s="843">
        <f>BenefitSummary!F218</f>
        <v>-11524698.83004264</v>
      </c>
      <c r="F30" s="844">
        <f>BenefitSummary!G218</f>
        <v>-4335171.6297450839</v>
      </c>
      <c r="H30" s="856" t="s">
        <v>771</v>
      </c>
      <c r="I30" s="1664">
        <f>-Safety.Costs!M102</f>
        <v>-15068250.956871688</v>
      </c>
    </row>
    <row r="31" spans="2:9" s="574" customFormat="1" ht="15" x14ac:dyDescent="0.25">
      <c r="B31" s="842"/>
      <c r="C31" s="837" t="s">
        <v>659</v>
      </c>
      <c r="D31" s="843">
        <f>BenefitSummary!E217</f>
        <v>76865115.377190039</v>
      </c>
      <c r="E31" s="843">
        <f>BenefitSummary!F217</f>
        <v>43420158.299185991</v>
      </c>
      <c r="F31" s="844">
        <f>BenefitSummary!G217</f>
        <v>21679777.911672749</v>
      </c>
      <c r="H31" s="842" t="s">
        <v>769</v>
      </c>
      <c r="I31" s="1664">
        <f>-SOGRR!R75</f>
        <v>-1791577.934595447</v>
      </c>
    </row>
    <row r="32" spans="2:9" ht="15" x14ac:dyDescent="0.25">
      <c r="B32" s="842"/>
      <c r="C32" s="837" t="s">
        <v>951</v>
      </c>
      <c r="D32" s="843">
        <f>ProjectCost!Q91-ProjectCost!E91</f>
        <v>167226831.4651452</v>
      </c>
      <c r="E32" s="843">
        <f>ProjectCost!R91-ProjectCost!I91</f>
        <v>126778618.10510215</v>
      </c>
      <c r="F32" s="844">
        <f>ProjectCost!S91-ProjectCost!J91</f>
        <v>66991103.635854229</v>
      </c>
      <c r="H32" s="842" t="s">
        <v>659</v>
      </c>
      <c r="I32" s="1664">
        <f>-Tourism!O69</f>
        <v>-1287876.6752066961</v>
      </c>
    </row>
    <row r="33" spans="2:11" s="574" customFormat="1" ht="15.75" thickBot="1" x14ac:dyDescent="0.3">
      <c r="B33" s="842"/>
      <c r="C33" s="837" t="s">
        <v>1012</v>
      </c>
      <c r="D33" s="843">
        <f>ProjectCost!E105</f>
        <v>64720647.303727388</v>
      </c>
      <c r="E33" s="843">
        <f>ProjectCost!E106</f>
        <v>12363979.28421665</v>
      </c>
      <c r="F33" s="844">
        <f>ProjectCost!E107</f>
        <v>1464034.4691587586</v>
      </c>
      <c r="H33" s="842" t="s">
        <v>921</v>
      </c>
      <c r="I33" s="1664">
        <f>-'Maritime Safety'!J61</f>
        <v>-15294114.069890587</v>
      </c>
    </row>
    <row r="34" spans="2:11" ht="15.75" thickBot="1" x14ac:dyDescent="0.3">
      <c r="B34" s="847" t="s">
        <v>632</v>
      </c>
      <c r="C34" s="837"/>
      <c r="D34" s="843">
        <f>SUM(D23:D33)</f>
        <v>2453009375.39468</v>
      </c>
      <c r="E34" s="843">
        <f>SUM(E23:E33)</f>
        <v>1352244840.4844975</v>
      </c>
      <c r="F34" s="844">
        <f>SUM(F23:F33)</f>
        <v>645053929.36477029</v>
      </c>
      <c r="H34" s="1423" t="s">
        <v>912</v>
      </c>
      <c r="I34" s="1665">
        <f>SUM(I26:I33)</f>
        <v>-571575655.01263595</v>
      </c>
    </row>
    <row r="35" spans="2:11" ht="15.75" thickBot="1" x14ac:dyDescent="0.3">
      <c r="B35" s="842" t="s">
        <v>679</v>
      </c>
      <c r="C35" s="837"/>
      <c r="D35" s="858"/>
      <c r="E35" s="858"/>
      <c r="F35" s="838"/>
      <c r="H35" s="1423" t="s">
        <v>906</v>
      </c>
      <c r="I35" s="1665">
        <f>ProjectCost!E91-ProjectCost!Q91</f>
        <v>-167226831.4651452</v>
      </c>
    </row>
    <row r="36" spans="2:11" ht="15.75" customHeight="1" thickBot="1" x14ac:dyDescent="0.3">
      <c r="B36" s="1765" t="s">
        <v>680</v>
      </c>
      <c r="C36" s="1766"/>
      <c r="D36" s="858">
        <f>JobCreation!C15</f>
        <v>8214.5643693107941</v>
      </c>
      <c r="E36" s="858"/>
      <c r="F36" s="838" t="s">
        <v>633</v>
      </c>
      <c r="H36" s="1423" t="s">
        <v>1015</v>
      </c>
      <c r="I36" s="1665">
        <f>I34+I35</f>
        <v>-738802486.47778118</v>
      </c>
    </row>
    <row r="37" spans="2:11" ht="27" customHeight="1" x14ac:dyDescent="0.25">
      <c r="B37" s="1765" t="s">
        <v>681</v>
      </c>
      <c r="C37" s="1766"/>
      <c r="D37" s="858">
        <f>JobCreation!C16</f>
        <v>326.34081902958121</v>
      </c>
      <c r="E37" s="858"/>
      <c r="F37" s="838" t="s">
        <v>633</v>
      </c>
      <c r="H37" s="1018" t="s">
        <v>877</v>
      </c>
      <c r="I37" s="874"/>
    </row>
    <row r="38" spans="2:11" ht="30" customHeight="1" thickBot="1" x14ac:dyDescent="0.3">
      <c r="B38" s="1763" t="s">
        <v>682</v>
      </c>
      <c r="C38" s="1764"/>
      <c r="D38" s="1572">
        <f>JobCreation!C17</f>
        <v>2053.6410923276985</v>
      </c>
      <c r="E38" s="1572"/>
      <c r="F38" s="850" t="s">
        <v>634</v>
      </c>
    </row>
    <row r="39" spans="2:11" ht="15.75" thickBot="1" x14ac:dyDescent="0.3">
      <c r="B39" s="823"/>
      <c r="C39" s="824"/>
      <c r="D39" s="824"/>
      <c r="E39" s="824"/>
      <c r="F39" s="850"/>
    </row>
    <row r="40" spans="2:11" ht="15" x14ac:dyDescent="0.25">
      <c r="B40" s="1018" t="s">
        <v>877</v>
      </c>
      <c r="C40" s="6"/>
      <c r="D40" s="6"/>
      <c r="E40" s="6"/>
      <c r="F40" s="859"/>
    </row>
    <row r="42" spans="2:11" ht="24.9" customHeight="1" x14ac:dyDescent="0.4">
      <c r="C42" s="1536" t="s">
        <v>909</v>
      </c>
      <c r="D42" s="1012" t="s">
        <v>639</v>
      </c>
      <c r="E42" s="1012" t="s">
        <v>660</v>
      </c>
      <c r="F42" s="1999" t="s">
        <v>1051</v>
      </c>
      <c r="G42" s="430"/>
      <c r="H42" s="430"/>
      <c r="I42" s="430"/>
      <c r="J42" s="430"/>
      <c r="K42" s="430"/>
    </row>
    <row r="43" spans="2:11" ht="24.9" customHeight="1" x14ac:dyDescent="0.4">
      <c r="B43" s="1012" t="s">
        <v>729</v>
      </c>
      <c r="C43" s="1014">
        <f>D34</f>
        <v>2453009375.39468</v>
      </c>
      <c r="D43" s="1014">
        <v>3145447976.3868799</v>
      </c>
      <c r="E43" s="1014">
        <v>2453009375.39468</v>
      </c>
      <c r="F43" s="1999" t="s">
        <v>1050</v>
      </c>
      <c r="G43" s="430"/>
      <c r="H43" s="430"/>
      <c r="I43" s="430"/>
      <c r="J43" s="430"/>
      <c r="K43" s="430"/>
    </row>
    <row r="44" spans="2:11" ht="24.9" customHeight="1" x14ac:dyDescent="0.3">
      <c r="B44" s="1012" t="s">
        <v>730</v>
      </c>
      <c r="C44" s="1014">
        <f>D16</f>
        <v>631700000</v>
      </c>
      <c r="D44" s="1014">
        <v>631700000</v>
      </c>
      <c r="E44" s="1014">
        <v>631700000</v>
      </c>
      <c r="F44" s="430"/>
      <c r="G44" s="430"/>
      <c r="H44" s="430"/>
      <c r="I44" s="430"/>
      <c r="J44" s="430"/>
      <c r="K44" s="430"/>
    </row>
    <row r="45" spans="2:11" ht="24.9" customHeight="1" x14ac:dyDescent="0.4">
      <c r="B45" s="1012" t="s">
        <v>731</v>
      </c>
      <c r="C45" s="1015">
        <f>IF(D6&lt;0,"N/A",D6)</f>
        <v>3.8831872334884916</v>
      </c>
      <c r="D45" s="1015">
        <v>4.9793382561134711</v>
      </c>
      <c r="E45" s="1015">
        <v>3.8831872334884916</v>
      </c>
      <c r="F45" s="1999" t="s">
        <v>1052</v>
      </c>
      <c r="G45" s="430"/>
      <c r="H45" s="430"/>
      <c r="I45" s="430"/>
      <c r="J45" s="430"/>
      <c r="K45" s="430"/>
    </row>
    <row r="46" spans="2:11" ht="24.9" customHeight="1" x14ac:dyDescent="0.4">
      <c r="B46" s="1012" t="s">
        <v>907</v>
      </c>
      <c r="C46" s="1014">
        <f>E34</f>
        <v>1352244840.4844975</v>
      </c>
      <c r="D46" s="1014">
        <v>1761612193.1010277</v>
      </c>
      <c r="E46" s="1014">
        <v>1352244840.4844975</v>
      </c>
      <c r="F46" s="1999" t="s">
        <v>1053</v>
      </c>
      <c r="G46" s="430"/>
      <c r="H46" s="430"/>
      <c r="I46" s="430"/>
      <c r="J46" s="430"/>
      <c r="K46" s="430"/>
    </row>
    <row r="47" spans="2:11" ht="24.9" customHeight="1" x14ac:dyDescent="0.3">
      <c r="B47" s="1012" t="s">
        <v>908</v>
      </c>
      <c r="C47" s="1014">
        <f>E16</f>
        <v>553325257.10606813</v>
      </c>
      <c r="D47" s="1014">
        <v>553325257.10606813</v>
      </c>
      <c r="E47" s="1014">
        <v>553325257.10606813</v>
      </c>
      <c r="F47" s="430"/>
      <c r="G47" s="430"/>
      <c r="H47" s="430"/>
      <c r="I47" s="430"/>
      <c r="J47" s="430"/>
      <c r="K47" s="430"/>
    </row>
    <row r="48" spans="2:11" ht="24.9" customHeight="1" x14ac:dyDescent="0.3">
      <c r="B48" s="1012" t="s">
        <v>772</v>
      </c>
      <c r="C48" s="1015">
        <f>IF(E6&lt;0,"N/A",E6)</f>
        <v>2.4438516462393887</v>
      </c>
      <c r="D48" s="1015">
        <v>3.1836829612918618</v>
      </c>
      <c r="E48" s="1015">
        <v>2.4438516462393887</v>
      </c>
      <c r="F48" s="574"/>
      <c r="G48" s="574"/>
      <c r="H48" s="574"/>
    </row>
    <row r="49" spans="2:9" ht="24.9" customHeight="1" x14ac:dyDescent="0.3">
      <c r="B49" s="1012" t="s">
        <v>937</v>
      </c>
      <c r="C49" s="1014">
        <f>F34</f>
        <v>645053929.36477029</v>
      </c>
      <c r="D49" s="1014">
        <v>862932314.74305868</v>
      </c>
      <c r="E49" s="1014">
        <v>645053929.36477029</v>
      </c>
      <c r="F49" s="574"/>
      <c r="G49" s="574"/>
      <c r="H49" s="574"/>
    </row>
    <row r="50" spans="2:9" ht="24.9" customHeight="1" x14ac:dyDescent="0.3">
      <c r="B50" s="1012" t="s">
        <v>936</v>
      </c>
      <c r="C50" s="1014">
        <f>F16</f>
        <v>467224506.66177428</v>
      </c>
      <c r="D50" s="1014">
        <v>467224506.66177428</v>
      </c>
      <c r="E50" s="1014">
        <v>467224506.66177428</v>
      </c>
      <c r="F50" s="574"/>
      <c r="G50" s="574"/>
      <c r="H50" s="574"/>
    </row>
    <row r="51" spans="2:9" ht="24.9" customHeight="1" x14ac:dyDescent="0.3">
      <c r="B51" s="1012" t="s">
        <v>773</v>
      </c>
      <c r="C51" s="1015">
        <f>IF(F6&lt;0,"N/A",F6)</f>
        <v>1.3806080806282011</v>
      </c>
      <c r="D51" s="1015">
        <v>1.8469329036452682</v>
      </c>
      <c r="E51" s="1015">
        <v>1.3806080806282011</v>
      </c>
      <c r="F51" s="574"/>
      <c r="G51" s="574"/>
      <c r="H51" s="574"/>
    </row>
    <row r="52" spans="2:9" x14ac:dyDescent="0.3">
      <c r="F52" s="574"/>
      <c r="G52" s="574"/>
      <c r="H52" s="574"/>
    </row>
    <row r="53" spans="2:9" x14ac:dyDescent="0.3">
      <c r="D53" s="1576"/>
      <c r="E53" s="1576"/>
      <c r="F53" s="574"/>
      <c r="G53" s="574"/>
      <c r="H53" s="574"/>
    </row>
    <row r="54" spans="2:9" x14ac:dyDescent="0.3">
      <c r="F54" s="574"/>
      <c r="G54" s="574"/>
      <c r="H54" s="574"/>
    </row>
    <row r="55" spans="2:9" x14ac:dyDescent="0.3">
      <c r="D55" s="1576"/>
      <c r="E55" s="1576"/>
      <c r="F55" s="1576"/>
    </row>
    <row r="59" spans="2:9" x14ac:dyDescent="0.3">
      <c r="C59" s="874"/>
      <c r="D59" s="874"/>
      <c r="E59" s="874"/>
      <c r="F59" s="874"/>
      <c r="G59" s="874"/>
      <c r="H59" s="874"/>
      <c r="I59" s="874"/>
    </row>
    <row r="60" spans="2:9" x14ac:dyDescent="0.3">
      <c r="C60" s="874"/>
      <c r="D60" s="874"/>
      <c r="E60" s="874"/>
      <c r="F60" s="874"/>
      <c r="G60" s="874"/>
      <c r="H60" s="874"/>
      <c r="I60" s="874"/>
    </row>
    <row r="61" spans="2:9" x14ac:dyDescent="0.3">
      <c r="C61" s="874"/>
      <c r="D61" s="874"/>
      <c r="E61" s="874"/>
      <c r="F61" s="874"/>
      <c r="G61" s="874"/>
      <c r="H61" s="874"/>
      <c r="I61" s="874"/>
    </row>
    <row r="62" spans="2:9" x14ac:dyDescent="0.3">
      <c r="C62" s="874"/>
      <c r="D62" s="874"/>
      <c r="E62" s="874"/>
      <c r="F62" s="874"/>
      <c r="G62" s="874"/>
      <c r="H62" s="874"/>
      <c r="I62" s="874"/>
    </row>
    <row r="63" spans="2:9" x14ac:dyDescent="0.3">
      <c r="C63" s="874"/>
      <c r="D63" s="874"/>
      <c r="E63" s="874"/>
      <c r="F63" s="874"/>
      <c r="G63" s="874"/>
      <c r="H63" s="874"/>
      <c r="I63" s="874"/>
    </row>
    <row r="64" spans="2:9" x14ac:dyDescent="0.3">
      <c r="C64" s="874"/>
      <c r="D64" s="874"/>
      <c r="E64" s="874"/>
      <c r="F64" s="874"/>
      <c r="G64" s="874"/>
      <c r="H64" s="874"/>
      <c r="I64" s="874"/>
    </row>
    <row r="65" spans="3:9" x14ac:dyDescent="0.3">
      <c r="C65" s="874"/>
      <c r="D65" s="874"/>
      <c r="E65" s="874"/>
      <c r="F65" s="874"/>
      <c r="G65" s="874"/>
      <c r="H65" s="874"/>
      <c r="I65" s="874"/>
    </row>
    <row r="66" spans="3:9" x14ac:dyDescent="0.3">
      <c r="C66" s="874"/>
      <c r="D66" s="874"/>
      <c r="E66" s="874"/>
      <c r="F66" s="874"/>
      <c r="G66" s="874"/>
      <c r="H66" s="874"/>
      <c r="I66" s="874"/>
    </row>
    <row r="67" spans="3:9" x14ac:dyDescent="0.3">
      <c r="C67" s="874"/>
      <c r="D67" s="874"/>
      <c r="E67" s="874"/>
      <c r="F67" s="874"/>
      <c r="G67" s="874"/>
      <c r="H67" s="874"/>
      <c r="I67" s="874"/>
    </row>
    <row r="68" spans="3:9" x14ac:dyDescent="0.3">
      <c r="C68" s="874"/>
      <c r="D68" s="874"/>
      <c r="E68" s="874"/>
      <c r="F68" s="874"/>
      <c r="G68" s="874"/>
      <c r="H68" s="874"/>
      <c r="I68" s="874"/>
    </row>
    <row r="69" spans="3:9" x14ac:dyDescent="0.3">
      <c r="C69" s="874"/>
      <c r="D69" s="874"/>
      <c r="E69" s="874"/>
      <c r="F69" s="874"/>
      <c r="G69" s="874"/>
      <c r="H69" s="874"/>
      <c r="I69" s="874"/>
    </row>
    <row r="71" spans="3:9" x14ac:dyDescent="0.3">
      <c r="C71" s="874"/>
      <c r="D71" s="877"/>
      <c r="E71" s="877"/>
      <c r="F71" s="877"/>
    </row>
    <row r="72" spans="3:9" x14ac:dyDescent="0.3">
      <c r="C72" s="874"/>
      <c r="D72" s="877"/>
      <c r="E72" s="877"/>
      <c r="F72" s="877"/>
    </row>
    <row r="73" spans="3:9" x14ac:dyDescent="0.3">
      <c r="C73" s="874"/>
      <c r="D73" s="877"/>
      <c r="E73" s="877"/>
      <c r="F73" s="877"/>
    </row>
    <row r="74" spans="3:9" x14ac:dyDescent="0.3">
      <c r="C74" s="874"/>
      <c r="D74" s="877"/>
      <c r="E74" s="877"/>
      <c r="F74" s="877"/>
    </row>
    <row r="75" spans="3:9" x14ac:dyDescent="0.3">
      <c r="C75" s="874"/>
      <c r="D75" s="877"/>
      <c r="E75" s="877"/>
      <c r="F75" s="877"/>
    </row>
    <row r="76" spans="3:9" x14ac:dyDescent="0.3">
      <c r="C76" s="874"/>
      <c r="D76" s="877"/>
      <c r="E76" s="877"/>
      <c r="F76" s="877"/>
    </row>
    <row r="77" spans="3:9" x14ac:dyDescent="0.3">
      <c r="C77" s="874"/>
      <c r="D77" s="877"/>
      <c r="E77" s="877"/>
      <c r="F77" s="877"/>
    </row>
    <row r="78" spans="3:9" x14ac:dyDescent="0.3">
      <c r="C78" s="874"/>
      <c r="D78" s="877"/>
      <c r="E78" s="877"/>
      <c r="F78" s="877"/>
    </row>
    <row r="79" spans="3:9" x14ac:dyDescent="0.3">
      <c r="C79" s="874"/>
      <c r="D79" s="877"/>
      <c r="E79" s="877"/>
      <c r="F79" s="877"/>
    </row>
    <row r="80" spans="3:9" x14ac:dyDescent="0.3">
      <c r="C80" s="874"/>
      <c r="D80" s="877"/>
      <c r="E80" s="877"/>
      <c r="F80" s="877"/>
    </row>
    <row r="81" spans="4:6" x14ac:dyDescent="0.3">
      <c r="D81" s="877"/>
      <c r="E81" s="877"/>
      <c r="F81" s="877"/>
    </row>
    <row r="82" spans="4:6" x14ac:dyDescent="0.3">
      <c r="D82" s="877"/>
    </row>
    <row r="83" spans="4:6" x14ac:dyDescent="0.3">
      <c r="D83" s="877"/>
    </row>
    <row r="84" spans="4:6" x14ac:dyDescent="0.3">
      <c r="D84" s="877"/>
    </row>
    <row r="85" spans="4:6" x14ac:dyDescent="0.3">
      <c r="D85" s="877"/>
    </row>
    <row r="86" spans="4:6" x14ac:dyDescent="0.3">
      <c r="D86" s="877"/>
    </row>
    <row r="87" spans="4:6" x14ac:dyDescent="0.3">
      <c r="D87" s="877"/>
    </row>
    <row r="88" spans="4:6" x14ac:dyDescent="0.3">
      <c r="D88" s="877"/>
    </row>
  </sheetData>
  <mergeCells count="10">
    <mergeCell ref="H3:I3"/>
    <mergeCell ref="H13:I13"/>
    <mergeCell ref="H8:H9"/>
    <mergeCell ref="I8:I9"/>
    <mergeCell ref="B38:C38"/>
    <mergeCell ref="B37:C37"/>
    <mergeCell ref="B36:C36"/>
    <mergeCell ref="H22:I22"/>
    <mergeCell ref="H19:H20"/>
    <mergeCell ref="I19:I20"/>
  </mergeCells>
  <conditionalFormatting sqref="H7:I7">
    <cfRule type="expression" dxfId="5" priority="12">
      <formula>$I$8=3</formula>
    </cfRule>
  </conditionalFormatting>
  <conditionalFormatting sqref="H6:I6">
    <cfRule type="expression" dxfId="4" priority="13">
      <formula>$I$8=2</formula>
    </cfRule>
  </conditionalFormatting>
  <conditionalFormatting sqref="H16:I16">
    <cfRule type="expression" dxfId="3" priority="1">
      <formula>$I$19=1</formula>
    </cfRule>
  </conditionalFormatting>
  <conditionalFormatting sqref="H17:I17">
    <cfRule type="expression" dxfId="2" priority="2">
      <formula>$I$19=2</formula>
    </cfRule>
  </conditionalFormatting>
  <conditionalFormatting sqref="H15:I15">
    <cfRule type="expression" dxfId="1" priority="4">
      <formula>$I$19=4</formula>
    </cfRule>
  </conditionalFormatting>
  <conditionalFormatting sqref="H18:I18">
    <cfRule type="expression" dxfId="0" priority="3">
      <formula>$I$19=3</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00000"/>
  </sheetPr>
  <dimension ref="B1:Y255"/>
  <sheetViews>
    <sheetView topLeftCell="A250" zoomScale="70" zoomScaleNormal="70" workbookViewId="0">
      <selection activeCell="K250" sqref="K250"/>
    </sheetView>
  </sheetViews>
  <sheetFormatPr defaultColWidth="9.109375" defaultRowHeight="11.4" x14ac:dyDescent="0.3"/>
  <cols>
    <col min="1" max="1" width="9.109375" style="905"/>
    <col min="2" max="2" width="7.109375" style="905" customWidth="1"/>
    <col min="3" max="3" width="11.5546875" style="905" customWidth="1"/>
    <col min="4" max="4" width="33.6640625" style="905" customWidth="1"/>
    <col min="5" max="5" width="20.6640625" style="905" customWidth="1"/>
    <col min="6" max="6" width="20.5546875" style="905" customWidth="1"/>
    <col min="7" max="7" width="19.6640625" style="905" customWidth="1"/>
    <col min="8" max="8" width="17.44140625" style="905" customWidth="1"/>
    <col min="9" max="9" width="17.33203125" style="905" customWidth="1"/>
    <col min="10" max="10" width="15.88671875" style="905" customWidth="1"/>
    <col min="11" max="11" width="15.33203125" style="905" bestFit="1" customWidth="1"/>
    <col min="12" max="13" width="15.6640625" style="905" customWidth="1"/>
    <col min="14" max="14" width="14" style="904" bestFit="1" customWidth="1"/>
    <col min="15" max="23" width="12.6640625" style="904" customWidth="1"/>
    <col min="24" max="24" width="15" style="904" customWidth="1"/>
    <col min="25" max="25" width="14.5546875" style="904" customWidth="1"/>
    <col min="26" max="16384" width="9.109375" style="905"/>
  </cols>
  <sheetData>
    <row r="1" spans="2:14" ht="26.25" x14ac:dyDescent="0.25">
      <c r="B1" s="944" t="s">
        <v>710</v>
      </c>
    </row>
    <row r="3" spans="2:14" ht="16.5" thickBot="1" x14ac:dyDescent="0.3">
      <c r="B3" s="945" t="s">
        <v>703</v>
      </c>
      <c r="C3" s="900"/>
      <c r="D3" s="900"/>
      <c r="E3" s="900"/>
      <c r="F3" s="900"/>
      <c r="G3" s="900"/>
      <c r="H3" s="901"/>
      <c r="I3" s="901"/>
      <c r="J3" s="902"/>
      <c r="K3" s="902"/>
      <c r="L3" s="902"/>
      <c r="M3" s="902"/>
      <c r="N3" s="903"/>
    </row>
    <row r="4" spans="2:14" ht="12" x14ac:dyDescent="0.25">
      <c r="B4" s="907" t="s">
        <v>182</v>
      </c>
      <c r="C4" s="928" t="s">
        <v>180</v>
      </c>
      <c r="D4" s="928" t="s">
        <v>178</v>
      </c>
      <c r="E4" s="928" t="s">
        <v>268</v>
      </c>
      <c r="F4" s="928" t="s">
        <v>269</v>
      </c>
      <c r="G4" s="909" t="s">
        <v>270</v>
      </c>
      <c r="H4" s="910"/>
      <c r="I4" s="910"/>
      <c r="J4" s="910"/>
      <c r="K4" s="910"/>
      <c r="L4" s="910"/>
      <c r="M4" s="910"/>
      <c r="N4" s="903"/>
    </row>
    <row r="5" spans="2:14" ht="28.5" customHeight="1" x14ac:dyDescent="0.3">
      <c r="B5" s="1782" t="s">
        <v>7</v>
      </c>
      <c r="C5" s="1783" t="s">
        <v>275</v>
      </c>
      <c r="D5" s="1784" t="s">
        <v>340</v>
      </c>
      <c r="E5" s="1784" t="s">
        <v>599</v>
      </c>
      <c r="F5" s="1785" t="s">
        <v>513</v>
      </c>
      <c r="G5" s="1786"/>
      <c r="H5" s="903"/>
      <c r="I5" s="911"/>
      <c r="J5" s="911"/>
      <c r="K5" s="903"/>
      <c r="L5" s="903"/>
      <c r="M5" s="903"/>
      <c r="N5" s="903"/>
    </row>
    <row r="6" spans="2:14" ht="12" x14ac:dyDescent="0.3">
      <c r="B6" s="1782"/>
      <c r="C6" s="1783"/>
      <c r="D6" s="1784"/>
      <c r="E6" s="1784"/>
      <c r="F6" s="1630">
        <f>3/100</f>
        <v>0.03</v>
      </c>
      <c r="G6" s="912">
        <f>7/100</f>
        <v>7.0000000000000007E-2</v>
      </c>
      <c r="H6" s="913"/>
      <c r="I6" s="913"/>
      <c r="J6" s="913"/>
      <c r="K6" s="903"/>
      <c r="L6" s="903"/>
      <c r="M6" s="903"/>
      <c r="N6" s="903"/>
    </row>
    <row r="7" spans="2:14" ht="24" x14ac:dyDescent="0.3">
      <c r="B7" s="1782"/>
      <c r="C7" s="1783"/>
      <c r="D7" s="1784"/>
      <c r="E7" s="1784"/>
      <c r="F7" s="1622" t="s">
        <v>379</v>
      </c>
      <c r="G7" s="1616" t="s">
        <v>380</v>
      </c>
      <c r="H7" s="913"/>
      <c r="I7" s="913"/>
      <c r="J7" s="913"/>
      <c r="K7" s="903"/>
      <c r="L7" s="903"/>
      <c r="M7" s="903"/>
      <c r="N7" s="903"/>
    </row>
    <row r="8" spans="2:14" ht="12" x14ac:dyDescent="0.25">
      <c r="B8" s="931">
        <v>7</v>
      </c>
      <c r="C8" s="1620">
        <v>2023</v>
      </c>
      <c r="D8" s="932">
        <f>SOGRR!I53</f>
        <v>92088294.131561711</v>
      </c>
      <c r="E8" s="1631">
        <f>-SOGRR!L53</f>
        <v>927185.67414611508</v>
      </c>
      <c r="F8" s="1632">
        <f>E8/(1+$F$6)^B8</f>
        <v>753886.80108737107</v>
      </c>
      <c r="G8" s="1628">
        <f>E8/(1+$G$6)^B8</f>
        <v>577404.63925358374</v>
      </c>
      <c r="H8" s="915"/>
      <c r="I8" s="915"/>
      <c r="J8" s="915"/>
      <c r="K8" s="903"/>
      <c r="L8" s="903"/>
      <c r="M8" s="903"/>
      <c r="N8" s="903"/>
    </row>
    <row r="9" spans="2:14" ht="12" x14ac:dyDescent="0.25">
      <c r="B9" s="931">
        <f>B8+1</f>
        <v>8</v>
      </c>
      <c r="C9" s="1620">
        <f>C8+1</f>
        <v>2024</v>
      </c>
      <c r="D9" s="932">
        <f>SOGRR!I54</f>
        <v>94780673.384979159</v>
      </c>
      <c r="E9" s="1631">
        <f>-SOGRR!L54</f>
        <v>756850.14387247828</v>
      </c>
      <c r="F9" s="1632">
        <f t="shared" ref="F9:F28" si="0">E9/(1+$F$35)^B9</f>
        <v>597464.49256476515</v>
      </c>
      <c r="G9" s="1628">
        <f t="shared" ref="G9:G28" si="1">E9/(1+$G$35)^B9</f>
        <v>440493.6745251416</v>
      </c>
      <c r="H9" s="915"/>
      <c r="I9" s="915"/>
      <c r="J9" s="915"/>
      <c r="K9" s="903"/>
      <c r="L9" s="903"/>
      <c r="M9" s="903"/>
      <c r="N9" s="903"/>
    </row>
    <row r="10" spans="2:14" ht="12" x14ac:dyDescent="0.25">
      <c r="B10" s="931">
        <f t="shared" ref="B10:B28" si="2">B9+1</f>
        <v>9</v>
      </c>
      <c r="C10" s="1620">
        <f t="shared" ref="C10:C28" si="3">C9+1</f>
        <v>2025</v>
      </c>
      <c r="D10" s="932">
        <f>SOGRR!I55</f>
        <v>97518593.479789943</v>
      </c>
      <c r="E10" s="1631">
        <f>-SOGRR!L55</f>
        <v>581460.60504041507</v>
      </c>
      <c r="F10" s="1632">
        <f t="shared" si="0"/>
        <v>445641.13690162316</v>
      </c>
      <c r="G10" s="1628">
        <f t="shared" si="1"/>
        <v>316276.04306487611</v>
      </c>
      <c r="H10" s="915"/>
      <c r="I10" s="915"/>
      <c r="J10" s="915"/>
      <c r="K10" s="903"/>
      <c r="L10" s="903"/>
      <c r="M10" s="903"/>
      <c r="N10" s="903"/>
    </row>
    <row r="11" spans="2:14" ht="12" x14ac:dyDescent="0.25">
      <c r="B11" s="931">
        <f t="shared" si="2"/>
        <v>10</v>
      </c>
      <c r="C11" s="1620">
        <f t="shared" si="3"/>
        <v>2026</v>
      </c>
      <c r="D11" s="932">
        <f>SOGRR!I56</f>
        <v>100302853.00060235</v>
      </c>
      <c r="E11" s="1631">
        <f>-SOGRR!L56</f>
        <v>400895.62311935914</v>
      </c>
      <c r="F11" s="1632">
        <f t="shared" si="0"/>
        <v>298303.99367184605</v>
      </c>
      <c r="G11" s="1628">
        <f t="shared" si="1"/>
        <v>203795.00623263282</v>
      </c>
      <c r="H11" s="915"/>
      <c r="I11" s="915"/>
      <c r="J11" s="915"/>
      <c r="K11" s="903"/>
      <c r="L11" s="903"/>
      <c r="M11" s="903"/>
      <c r="N11" s="903"/>
    </row>
    <row r="12" spans="2:14" ht="12" x14ac:dyDescent="0.25">
      <c r="B12" s="931">
        <f t="shared" si="2"/>
        <v>11</v>
      </c>
      <c r="C12" s="1620">
        <f t="shared" si="3"/>
        <v>2027</v>
      </c>
      <c r="D12" s="932">
        <f>SOGRR!I57</f>
        <v>103134265.33045244</v>
      </c>
      <c r="E12" s="1631">
        <f>-SOGRR!L57</f>
        <v>215030.98546779071</v>
      </c>
      <c r="F12" s="1632">
        <f t="shared" si="0"/>
        <v>155342.95902993128</v>
      </c>
      <c r="G12" s="1628">
        <f t="shared" si="1"/>
        <v>102159.6721958712</v>
      </c>
      <c r="H12" s="915"/>
      <c r="I12" s="915"/>
      <c r="J12" s="915"/>
      <c r="K12" s="903"/>
      <c r="L12" s="903"/>
      <c r="M12" s="903"/>
      <c r="N12" s="903"/>
    </row>
    <row r="13" spans="2:14" ht="12" x14ac:dyDescent="0.25">
      <c r="B13" s="931">
        <f t="shared" si="2"/>
        <v>12</v>
      </c>
      <c r="C13" s="1620">
        <f t="shared" si="3"/>
        <v>2028</v>
      </c>
      <c r="D13" s="932">
        <f>SOGRR!I58</f>
        <v>106013658.94288574</v>
      </c>
      <c r="E13" s="1631">
        <f>-SOGRR!L58</f>
        <v>23739.638607257861</v>
      </c>
      <c r="F13" s="1632">
        <f t="shared" si="0"/>
        <v>16650.504882182999</v>
      </c>
      <c r="G13" s="1628">
        <f t="shared" si="1"/>
        <v>10540.683449675564</v>
      </c>
      <c r="H13" s="915"/>
      <c r="I13" s="915"/>
      <c r="J13" s="915"/>
      <c r="K13" s="903"/>
      <c r="L13" s="903"/>
      <c r="M13" s="903"/>
      <c r="N13" s="903"/>
    </row>
    <row r="14" spans="2:14" ht="12" x14ac:dyDescent="0.25">
      <c r="B14" s="931">
        <f t="shared" si="2"/>
        <v>13</v>
      </c>
      <c r="C14" s="1620">
        <f t="shared" si="3"/>
        <v>2029</v>
      </c>
      <c r="D14" s="932">
        <f>SOGRR!I59</f>
        <v>108941877.70010942</v>
      </c>
      <c r="E14" s="1631">
        <f>-SOGRR!L59</f>
        <v>-173108.3759148356</v>
      </c>
      <c r="F14" s="1632">
        <f t="shared" si="0"/>
        <v>-117878.38054325007</v>
      </c>
      <c r="G14" s="1628">
        <f t="shared" si="1"/>
        <v>-71833.821636381181</v>
      </c>
      <c r="H14" s="915"/>
      <c r="I14" s="915"/>
      <c r="J14" s="915"/>
      <c r="K14" s="903"/>
      <c r="L14" s="903"/>
      <c r="M14" s="903"/>
      <c r="N14" s="903"/>
    </row>
    <row r="15" spans="2:14" ht="12" x14ac:dyDescent="0.25">
      <c r="B15" s="931">
        <f t="shared" si="2"/>
        <v>14</v>
      </c>
      <c r="C15" s="1620">
        <f t="shared" si="3"/>
        <v>2030</v>
      </c>
      <c r="D15" s="932">
        <f>SOGRR!I60</f>
        <v>111919781.1573568</v>
      </c>
      <c r="E15" s="1631">
        <f>-SOGRR!L60</f>
        <v>-375645.98710544693</v>
      </c>
      <c r="F15" s="1632">
        <f t="shared" si="0"/>
        <v>-248346.2507597224</v>
      </c>
      <c r="G15" s="1628">
        <f t="shared" si="1"/>
        <v>-145681.99031846403</v>
      </c>
      <c r="H15" s="915"/>
      <c r="I15" s="915"/>
      <c r="J15" s="915"/>
      <c r="K15" s="903"/>
      <c r="L15" s="903"/>
      <c r="M15" s="903"/>
      <c r="N15" s="903"/>
    </row>
    <row r="16" spans="2:14" ht="12" x14ac:dyDescent="0.25">
      <c r="B16" s="931">
        <f t="shared" si="2"/>
        <v>15</v>
      </c>
      <c r="C16" s="1620">
        <f t="shared" si="3"/>
        <v>2031</v>
      </c>
      <c r="D16" s="932">
        <f>SOGRR!I61</f>
        <v>114948244.87358537</v>
      </c>
      <c r="E16" s="1631">
        <f>-SOGRR!L61</f>
        <v>-584009.16158145817</v>
      </c>
      <c r="F16" s="1632">
        <f t="shared" si="0"/>
        <v>-374853.25775019912</v>
      </c>
      <c r="G16" s="1628">
        <f t="shared" si="1"/>
        <v>-211671.79604987119</v>
      </c>
      <c r="H16" s="915"/>
      <c r="I16" s="915"/>
      <c r="J16" s="915"/>
      <c r="K16" s="903"/>
      <c r="L16" s="903"/>
      <c r="M16" s="903"/>
      <c r="N16" s="903"/>
    </row>
    <row r="17" spans="2:14" ht="12" x14ac:dyDescent="0.25">
      <c r="B17" s="931">
        <f t="shared" si="2"/>
        <v>16</v>
      </c>
      <c r="C17" s="1620">
        <f t="shared" si="3"/>
        <v>2032</v>
      </c>
      <c r="D17" s="932">
        <f>SOGRR!I62</f>
        <v>118028160.72865799</v>
      </c>
      <c r="E17" s="1631">
        <f>-SOGRR!L62</f>
        <v>-798336.97213380388</v>
      </c>
      <c r="F17" s="1632">
        <f t="shared" si="0"/>
        <v>-497497.20739087631</v>
      </c>
      <c r="G17" s="1628">
        <f t="shared" si="1"/>
        <v>-270424.3531618978</v>
      </c>
      <c r="H17" s="915"/>
      <c r="I17" s="915"/>
      <c r="J17" s="915"/>
      <c r="K17" s="903"/>
      <c r="L17" s="903"/>
      <c r="M17" s="903"/>
      <c r="N17" s="903"/>
    </row>
    <row r="18" spans="2:14" ht="12" x14ac:dyDescent="0.25">
      <c r="B18" s="931">
        <f t="shared" si="2"/>
        <v>17</v>
      </c>
      <c r="C18" s="1620">
        <f t="shared" si="3"/>
        <v>2033</v>
      </c>
      <c r="D18" s="932">
        <f>SOGRR!I63</f>
        <v>121160437.24713528</v>
      </c>
      <c r="E18" s="1631">
        <f>-SOGRR!L63</f>
        <v>-1018771.6678341175</v>
      </c>
      <c r="F18" s="1632">
        <f t="shared" si="0"/>
        <v>-616373.61360034766</v>
      </c>
      <c r="G18" s="1628">
        <f t="shared" si="1"/>
        <v>-322517.01976669068</v>
      </c>
      <c r="H18" s="915"/>
      <c r="I18" s="915"/>
      <c r="J18" s="915"/>
      <c r="K18" s="903"/>
      <c r="L18" s="903"/>
      <c r="M18" s="903"/>
      <c r="N18" s="903"/>
    </row>
    <row r="19" spans="2:14" ht="12" x14ac:dyDescent="0.25">
      <c r="B19" s="931">
        <f t="shared" si="2"/>
        <v>18</v>
      </c>
      <c r="C19" s="1620">
        <f t="shared" si="3"/>
        <v>2034</v>
      </c>
      <c r="D19" s="932">
        <f>SOGRR!I64</f>
        <v>124345999.92883205</v>
      </c>
      <c r="E19" s="1631">
        <f>-SOGRR!L64</f>
        <v>-1245458.7457184438</v>
      </c>
      <c r="F19" s="1632">
        <f t="shared" si="0"/>
        <v>-731575.75124355289</v>
      </c>
      <c r="G19" s="1628">
        <f t="shared" si="1"/>
        <v>-368486.3021252444</v>
      </c>
      <c r="H19" s="915"/>
      <c r="I19" s="915"/>
      <c r="J19" s="915"/>
      <c r="K19" s="903"/>
      <c r="L19" s="903"/>
      <c r="M19" s="903"/>
      <c r="N19" s="903"/>
    </row>
    <row r="20" spans="2:14" ht="12" x14ac:dyDescent="0.25">
      <c r="B20" s="931">
        <f t="shared" si="2"/>
        <v>19</v>
      </c>
      <c r="C20" s="1620">
        <f t="shared" si="3"/>
        <v>2035</v>
      </c>
      <c r="D20" s="932">
        <f>SOGRR!I65</f>
        <v>127585791.58627415</v>
      </c>
      <c r="E20" s="1631">
        <f>-SOGRR!L65</f>
        <v>-1478547.0240835866</v>
      </c>
      <c r="F20" s="1632">
        <f t="shared" si="0"/>
        <v>-843194.70781922422</v>
      </c>
      <c r="G20" s="1628">
        <f t="shared" si="1"/>
        <v>-408830.57290749007</v>
      </c>
      <c r="H20" s="915"/>
      <c r="I20" s="915"/>
      <c r="J20" s="915"/>
      <c r="K20" s="903"/>
      <c r="L20" s="903"/>
      <c r="M20" s="903"/>
      <c r="N20" s="903"/>
    </row>
    <row r="21" spans="2:14" ht="12" x14ac:dyDescent="0.25">
      <c r="B21" s="931">
        <f t="shared" si="2"/>
        <v>20</v>
      </c>
      <c r="C21" s="1620">
        <f t="shared" si="3"/>
        <v>2036</v>
      </c>
      <c r="D21" s="932">
        <f>SOGRR!I66</f>
        <v>130880772.68921435</v>
      </c>
      <c r="E21" s="1631">
        <f>-SOGRR!L66</f>
        <v>-1718188.7174322456</v>
      </c>
      <c r="F21" s="1632">
        <f t="shared" si="0"/>
        <v>-951319.43395875022</v>
      </c>
      <c r="G21" s="1628">
        <f t="shared" si="1"/>
        <v>-444012.61500488094</v>
      </c>
      <c r="H21" s="915"/>
      <c r="I21" s="915"/>
      <c r="J21" s="916"/>
      <c r="K21" s="903"/>
      <c r="L21" s="903"/>
      <c r="M21" s="903"/>
      <c r="N21" s="903"/>
    </row>
    <row r="22" spans="2:14" ht="12" x14ac:dyDescent="0.25">
      <c r="B22" s="931">
        <f t="shared" si="2"/>
        <v>21</v>
      </c>
      <c r="C22" s="1620">
        <f t="shared" si="3"/>
        <v>2037</v>
      </c>
      <c r="D22" s="932">
        <f>SOGRR!I67</f>
        <v>134231921.71635151</v>
      </c>
      <c r="E22" s="1631">
        <f>-SOGRR!L67</f>
        <v>-1964539.5131041298</v>
      </c>
      <c r="F22" s="1632">
        <f t="shared" si="0"/>
        <v>-1056036.7927638683</v>
      </c>
      <c r="G22" s="1628">
        <f t="shared" si="1"/>
        <v>-474462.00183627324</v>
      </c>
      <c r="H22" s="915"/>
      <c r="I22" s="915"/>
      <c r="J22" s="915"/>
      <c r="K22" s="903"/>
      <c r="L22" s="903"/>
      <c r="M22" s="903"/>
      <c r="N22" s="903"/>
    </row>
    <row r="23" spans="2:14" ht="12" x14ac:dyDescent="0.25">
      <c r="B23" s="931">
        <f t="shared" si="2"/>
        <v>22</v>
      </c>
      <c r="C23" s="1620">
        <f t="shared" si="3"/>
        <v>2038</v>
      </c>
      <c r="D23" s="932">
        <f>SOGRR!I68</f>
        <v>137640235.51441532</v>
      </c>
      <c r="E23" s="1631">
        <f>-SOGRR!L68</f>
        <v>-2217758.6496307631</v>
      </c>
      <c r="F23" s="1632">
        <f t="shared" si="0"/>
        <v>-1157431.6080097847</v>
      </c>
      <c r="G23" s="1628">
        <f t="shared" si="1"/>
        <v>-500577.32441210042</v>
      </c>
      <c r="H23" s="915"/>
      <c r="I23" s="915"/>
      <c r="J23" s="915"/>
      <c r="K23" s="903"/>
      <c r="L23" s="903"/>
      <c r="M23" s="903"/>
      <c r="N23" s="903"/>
    </row>
    <row r="24" spans="2:14" ht="12" x14ac:dyDescent="0.25">
      <c r="B24" s="931">
        <f t="shared" si="2"/>
        <v>23</v>
      </c>
      <c r="C24" s="1620">
        <f t="shared" si="3"/>
        <v>2039</v>
      </c>
      <c r="D24" s="932">
        <f>SOGRR!I69</f>
        <v>141106729.66476861</v>
      </c>
      <c r="E24" s="1631">
        <f>-SOGRR!L69</f>
        <v>-2478008.9968528794</v>
      </c>
      <c r="F24" s="1632">
        <f>E24/(1+$F$35)^B24</f>
        <v>-1255586.7112398993</v>
      </c>
      <c r="G24" s="1628">
        <f t="shared" si="1"/>
        <v>-522728.27478751045</v>
      </c>
      <c r="H24" s="915"/>
      <c r="I24" s="915"/>
      <c r="J24" s="915"/>
      <c r="K24" s="903"/>
      <c r="L24" s="903"/>
      <c r="M24" s="903"/>
      <c r="N24" s="903"/>
    </row>
    <row r="25" spans="2:14" ht="12" x14ac:dyDescent="0.25">
      <c r="B25" s="931">
        <f t="shared" si="2"/>
        <v>24</v>
      </c>
      <c r="C25" s="1620">
        <f t="shared" si="3"/>
        <v>2040</v>
      </c>
      <c r="D25" s="932">
        <f>SOGRR!I70</f>
        <v>144632438.85770023</v>
      </c>
      <c r="E25" s="1631">
        <f>-SOGRR!L70</f>
        <v>-2745457.1378399441</v>
      </c>
      <c r="F25" s="1632">
        <f t="shared" si="0"/>
        <v>-1350582.9877775793</v>
      </c>
      <c r="G25" s="1628">
        <f t="shared" si="1"/>
        <v>-541257.59493944165</v>
      </c>
      <c r="H25" s="915"/>
      <c r="I25" s="915"/>
      <c r="J25" s="915"/>
      <c r="K25" s="903"/>
      <c r="L25" s="903"/>
      <c r="M25" s="903"/>
      <c r="N25" s="903"/>
    </row>
    <row r="26" spans="2:14" ht="12" x14ac:dyDescent="0.25">
      <c r="B26" s="931">
        <f t="shared" si="2"/>
        <v>25</v>
      </c>
      <c r="C26" s="1620">
        <f t="shared" si="3"/>
        <v>2041</v>
      </c>
      <c r="D26" s="932">
        <f>SOGRR!I71</f>
        <v>148218417.27456257</v>
      </c>
      <c r="E26" s="1631">
        <f>-SOGRR!L71</f>
        <v>-3020273.4526523673</v>
      </c>
      <c r="F26" s="1632">
        <f t="shared" si="0"/>
        <v>-1442499.4216799121</v>
      </c>
      <c r="G26" s="1628">
        <f t="shared" si="1"/>
        <v>-556482.89954345347</v>
      </c>
      <c r="H26" s="915"/>
      <c r="I26" s="915"/>
      <c r="J26" s="915"/>
      <c r="K26" s="903"/>
      <c r="L26" s="903"/>
      <c r="M26" s="903"/>
      <c r="N26" s="903"/>
    </row>
    <row r="27" spans="2:14" ht="12" x14ac:dyDescent="0.25">
      <c r="B27" s="931">
        <f t="shared" si="2"/>
        <v>26</v>
      </c>
      <c r="C27" s="1620">
        <f t="shared" si="3"/>
        <v>2042</v>
      </c>
      <c r="D27" s="932">
        <f>SOGRR!I72</f>
        <v>151865738.97793412</v>
      </c>
      <c r="E27" s="1631">
        <f>-SOGRR!L72</f>
        <v>-3302632.2039877432</v>
      </c>
      <c r="F27" s="1632">
        <f t="shared" si="0"/>
        <v>-1531413.139657724</v>
      </c>
      <c r="G27" s="1628">
        <f t="shared" si="1"/>
        <v>-568698.38060112437</v>
      </c>
      <c r="H27" s="915"/>
      <c r="I27" s="915"/>
      <c r="J27" s="915"/>
      <c r="K27" s="903"/>
      <c r="L27" s="903"/>
      <c r="M27" s="903"/>
      <c r="N27" s="903"/>
    </row>
    <row r="28" spans="2:14" ht="12" x14ac:dyDescent="0.25">
      <c r="B28" s="931">
        <f t="shared" si="2"/>
        <v>27</v>
      </c>
      <c r="C28" s="1620">
        <f t="shared" si="3"/>
        <v>2043</v>
      </c>
      <c r="D28" s="932">
        <f>SOGRR!I73</f>
        <v>155575498.30997497</v>
      </c>
      <c r="E28" s="1631">
        <f>-SOGRR!L73</f>
        <v>-3592711.6247535404</v>
      </c>
      <c r="F28" s="1632">
        <f t="shared" si="0"/>
        <v>-1617399.4539856694</v>
      </c>
      <c r="G28" s="1628">
        <f t="shared" si="1"/>
        <v>-578176.40137604054</v>
      </c>
      <c r="H28" s="915"/>
      <c r="I28" s="915"/>
      <c r="J28" s="915"/>
      <c r="K28" s="903"/>
      <c r="L28" s="903"/>
      <c r="M28" s="903"/>
      <c r="N28" s="903"/>
    </row>
    <row r="29" spans="2:14" ht="12.75" thickBot="1" x14ac:dyDescent="0.3">
      <c r="B29" s="917" t="s">
        <v>314</v>
      </c>
      <c r="C29" s="1460"/>
      <c r="D29" s="933">
        <f>SUM(D8:D28)</f>
        <v>2564920384.4971442</v>
      </c>
      <c r="E29" s="1633">
        <f>SUM(E8:E28)</f>
        <v>-23808285.560371891</v>
      </c>
      <c r="F29" s="1634">
        <f>SUM(F8:F28)</f>
        <v>-11524698.83004264</v>
      </c>
      <c r="G29" s="1629">
        <f>SUM(G8:G28)</f>
        <v>-4335171.6297450839</v>
      </c>
      <c r="H29" s="918"/>
      <c r="I29" s="918"/>
      <c r="J29" s="918"/>
      <c r="K29" s="903"/>
      <c r="L29" s="903"/>
      <c r="M29" s="903"/>
      <c r="N29" s="903"/>
    </row>
    <row r="30" spans="2:14" ht="12" x14ac:dyDescent="0.25">
      <c r="B30" s="905" t="s">
        <v>877</v>
      </c>
    </row>
    <row r="32" spans="2:14" ht="15.75" customHeight="1" thickBot="1" x14ac:dyDescent="0.3">
      <c r="B32" s="945" t="s">
        <v>704</v>
      </c>
      <c r="C32" s="900"/>
      <c r="D32" s="900"/>
      <c r="E32" s="900"/>
      <c r="F32" s="900"/>
      <c r="G32" s="900"/>
      <c r="H32" s="900"/>
      <c r="I32" s="945" t="s">
        <v>955</v>
      </c>
      <c r="J32" s="900"/>
      <c r="K32" s="900"/>
      <c r="L32" s="900"/>
      <c r="M32" s="900"/>
      <c r="N32" s="900"/>
    </row>
    <row r="33" spans="2:25" ht="12" x14ac:dyDescent="0.25">
      <c r="B33" s="907" t="s">
        <v>182</v>
      </c>
      <c r="C33" s="928" t="s">
        <v>180</v>
      </c>
      <c r="D33" s="928" t="s">
        <v>178</v>
      </c>
      <c r="E33" s="928" t="s">
        <v>268</v>
      </c>
      <c r="F33" s="928" t="s">
        <v>269</v>
      </c>
      <c r="G33" s="909" t="s">
        <v>270</v>
      </c>
      <c r="H33" s="910"/>
      <c r="I33" s="907" t="s">
        <v>182</v>
      </c>
      <c r="J33" s="928" t="s">
        <v>180</v>
      </c>
      <c r="K33" s="928" t="s">
        <v>178</v>
      </c>
      <c r="L33" s="928" t="s">
        <v>268</v>
      </c>
      <c r="M33" s="928" t="s">
        <v>269</v>
      </c>
      <c r="N33" s="909" t="s">
        <v>270</v>
      </c>
    </row>
    <row r="34" spans="2:25" s="906" customFormat="1" ht="24.9" customHeight="1" x14ac:dyDescent="0.3">
      <c r="B34" s="1782" t="s">
        <v>7</v>
      </c>
      <c r="C34" s="1783" t="s">
        <v>275</v>
      </c>
      <c r="D34" s="1784" t="s">
        <v>337</v>
      </c>
      <c r="E34" s="1784" t="s">
        <v>600</v>
      </c>
      <c r="F34" s="1785" t="s">
        <v>359</v>
      </c>
      <c r="G34" s="1786"/>
      <c r="H34" s="911"/>
      <c r="I34" s="1782" t="s">
        <v>7</v>
      </c>
      <c r="J34" s="1783" t="s">
        <v>275</v>
      </c>
      <c r="K34" s="1784" t="s">
        <v>337</v>
      </c>
      <c r="L34" s="1784" t="s">
        <v>600</v>
      </c>
      <c r="M34" s="1785" t="s">
        <v>359</v>
      </c>
      <c r="N34" s="1786"/>
      <c r="O34" s="910"/>
      <c r="W34" s="910"/>
      <c r="X34" s="910"/>
      <c r="Y34" s="910"/>
    </row>
    <row r="35" spans="2:25" s="906" customFormat="1" ht="21" customHeight="1" x14ac:dyDescent="0.3">
      <c r="B35" s="1782"/>
      <c r="C35" s="1783"/>
      <c r="D35" s="1784"/>
      <c r="E35" s="1784"/>
      <c r="F35" s="1621">
        <f>3/100</f>
        <v>0.03</v>
      </c>
      <c r="G35" s="921">
        <f>7/100</f>
        <v>7.0000000000000007E-2</v>
      </c>
      <c r="H35" s="913"/>
      <c r="I35" s="1782"/>
      <c r="J35" s="1783"/>
      <c r="K35" s="1784"/>
      <c r="L35" s="1784"/>
      <c r="M35" s="1621">
        <f>3/100</f>
        <v>0.03</v>
      </c>
      <c r="N35" s="921">
        <f>7/100</f>
        <v>7.0000000000000007E-2</v>
      </c>
      <c r="O35" s="903"/>
      <c r="W35" s="903"/>
      <c r="X35" s="903"/>
      <c r="Y35" s="903"/>
    </row>
    <row r="36" spans="2:25" ht="29.25" customHeight="1" x14ac:dyDescent="0.3">
      <c r="B36" s="1782"/>
      <c r="C36" s="1783"/>
      <c r="D36" s="1784"/>
      <c r="E36" s="1784"/>
      <c r="F36" s="1622" t="s">
        <v>379</v>
      </c>
      <c r="G36" s="1616" t="s">
        <v>380</v>
      </c>
      <c r="H36" s="913"/>
      <c r="I36" s="1782"/>
      <c r="J36" s="1783"/>
      <c r="K36" s="1784"/>
      <c r="L36" s="1784"/>
      <c r="M36" s="1622" t="s">
        <v>379</v>
      </c>
      <c r="N36" s="1616" t="s">
        <v>380</v>
      </c>
    </row>
    <row r="37" spans="2:25" ht="15" customHeight="1" x14ac:dyDescent="0.25">
      <c r="B37" s="931">
        <v>7</v>
      </c>
      <c r="C37" s="1620">
        <v>2023</v>
      </c>
      <c r="D37" s="932">
        <f>Travel.Time.Costs!I60</f>
        <v>-236583.22325270658</v>
      </c>
      <c r="E37" s="1631">
        <f>-Travel.Time.Costs!L60</f>
        <v>6643180.278300331</v>
      </c>
      <c r="F37" s="1623">
        <f>E37/(1+$F$35)^B37</f>
        <v>5401513.4926095773</v>
      </c>
      <c r="G37" s="914">
        <f>E37/(1+$G$35)^B37</f>
        <v>4137038.8036043374</v>
      </c>
      <c r="H37" s="923"/>
      <c r="I37" s="931">
        <v>7</v>
      </c>
      <c r="J37" s="1620">
        <v>2023</v>
      </c>
      <c r="K37" s="932">
        <f>Travel.Time.Costs!G92</f>
        <v>-39953.872494688214</v>
      </c>
      <c r="L37" s="1458">
        <f>-Travel.Time.Costs!H92</f>
        <v>1086745.3318555194</v>
      </c>
      <c r="M37" s="1623">
        <f>L37/(1+$M$35)^I37</f>
        <v>883623.40432373888</v>
      </c>
      <c r="N37" s="914">
        <f>L37/(1+$N$35)^I37</f>
        <v>676770.37490730907</v>
      </c>
    </row>
    <row r="38" spans="2:25" ht="15" customHeight="1" x14ac:dyDescent="0.25">
      <c r="B38" s="931">
        <f>B37+1</f>
        <v>8</v>
      </c>
      <c r="C38" s="1620">
        <f>C37+1</f>
        <v>2024</v>
      </c>
      <c r="D38" s="932">
        <f>Travel.Time.Costs!I61</f>
        <v>-519916.02301069081</v>
      </c>
      <c r="E38" s="1631">
        <f>-Travel.Time.Costs!L61</f>
        <v>12501308.937023722</v>
      </c>
      <c r="F38" s="1623">
        <f t="shared" ref="F38:F57" si="4">E38/(1+$F$35)^B38</f>
        <v>9868648.7158978581</v>
      </c>
      <c r="G38" s="914">
        <f t="shared" ref="G38:G57" si="5">E38/(1+$G$35)^B38</f>
        <v>7275875.6203280883</v>
      </c>
      <c r="H38" s="923"/>
      <c r="I38" s="931">
        <f>I37+1</f>
        <v>8</v>
      </c>
      <c r="J38" s="1620">
        <f>J37+1</f>
        <v>2024</v>
      </c>
      <c r="K38" s="932">
        <f>Travel.Time.Costs!G93</f>
        <v>-42563.909051238901</v>
      </c>
      <c r="L38" s="1458">
        <f>-Travel.Time.Costs!H93</f>
        <v>1157738.326193698</v>
      </c>
      <c r="M38" s="1623">
        <f t="shared" ref="M38:M57" si="6">L38/(1+$M$35)^I38</f>
        <v>913929.32561646472</v>
      </c>
      <c r="N38" s="914">
        <f t="shared" ref="N38:N57" si="7">L38/(1+$N$35)^I38</f>
        <v>673814.24654862052</v>
      </c>
    </row>
    <row r="39" spans="2:25" ht="15" customHeight="1" x14ac:dyDescent="0.25">
      <c r="B39" s="931">
        <f t="shared" ref="B39:B57" si="8">B38+1</f>
        <v>9</v>
      </c>
      <c r="C39" s="1620">
        <f t="shared" ref="C39:C57" si="9">C38+1</f>
        <v>2025</v>
      </c>
      <c r="D39" s="932">
        <f>Travel.Time.Costs!I62</f>
        <v>-820087.60919541272</v>
      </c>
      <c r="E39" s="1631">
        <f>-Travel.Time.Costs!L62</f>
        <v>18707537.640395179</v>
      </c>
      <c r="F39" s="1623">
        <f t="shared" si="4"/>
        <v>14337769.868547078</v>
      </c>
      <c r="G39" s="914">
        <f t="shared" si="5"/>
        <v>10175660.96327397</v>
      </c>
      <c r="H39" s="923"/>
      <c r="I39" s="931">
        <f t="shared" ref="I39:J54" si="10">I38+1</f>
        <v>9</v>
      </c>
      <c r="J39" s="1620">
        <f t="shared" si="10"/>
        <v>2025</v>
      </c>
      <c r="K39" s="932">
        <f>Travel.Time.Costs!G94</f>
        <v>-45312.026502277462</v>
      </c>
      <c r="L39" s="1458">
        <f>-Travel.Time.Costs!H94</f>
        <v>1232487.1208619468</v>
      </c>
      <c r="M39" s="1623">
        <f t="shared" si="6"/>
        <v>944598.7518266181</v>
      </c>
      <c r="N39" s="914">
        <f t="shared" si="7"/>
        <v>670391.33233719994</v>
      </c>
    </row>
    <row r="40" spans="2:25" ht="15" customHeight="1" x14ac:dyDescent="0.25">
      <c r="B40" s="931">
        <f t="shared" si="8"/>
        <v>10</v>
      </c>
      <c r="C40" s="1620">
        <f t="shared" si="9"/>
        <v>2026</v>
      </c>
      <c r="D40" s="932">
        <f>Travel.Time.Costs!I63</f>
        <v>-1137885.0892729522</v>
      </c>
      <c r="E40" s="1631">
        <f>-Travel.Time.Costs!L63</f>
        <v>25278174.102627389</v>
      </c>
      <c r="F40" s="1623">
        <f t="shared" si="4"/>
        <v>18809335.529465027</v>
      </c>
      <c r="G40" s="914">
        <f t="shared" si="5"/>
        <v>12850141.911528789</v>
      </c>
      <c r="H40" s="923"/>
      <c r="I40" s="931">
        <f t="shared" si="10"/>
        <v>10</v>
      </c>
      <c r="J40" s="1620">
        <f t="shared" si="10"/>
        <v>2026</v>
      </c>
      <c r="K40" s="932">
        <f>Travel.Time.Costs!G95</f>
        <v>-48204.870055017593</v>
      </c>
      <c r="L40" s="1458">
        <f>-Travel.Time.Costs!H95</f>
        <v>1311172.4654964786</v>
      </c>
      <c r="M40" s="1623">
        <f t="shared" si="6"/>
        <v>975635.45295606612</v>
      </c>
      <c r="N40" s="914">
        <f t="shared" si="7"/>
        <v>666533.59470166755</v>
      </c>
    </row>
    <row r="41" spans="2:25" ht="15" customHeight="1" x14ac:dyDescent="0.25">
      <c r="B41" s="931">
        <f t="shared" si="8"/>
        <v>11</v>
      </c>
      <c r="C41" s="1620">
        <f t="shared" si="9"/>
        <v>2027</v>
      </c>
      <c r="D41" s="932">
        <f>Travel.Time.Costs!I64</f>
        <v>-1474129.4587573011</v>
      </c>
      <c r="E41" s="1631">
        <f>-Travel.Time.Costs!L64</f>
        <v>32230229.865022264</v>
      </c>
      <c r="F41" s="1623">
        <f t="shared" si="4"/>
        <v>23283803.804160938</v>
      </c>
      <c r="G41" s="914">
        <f t="shared" si="5"/>
        <v>15312350.034788137</v>
      </c>
      <c r="H41" s="923"/>
      <c r="I41" s="931">
        <f t="shared" si="10"/>
        <v>11</v>
      </c>
      <c r="J41" s="1620">
        <f t="shared" si="10"/>
        <v>2027</v>
      </c>
      <c r="K41" s="932">
        <f>Travel.Time.Costs!G96</f>
        <v>-51249.388140878065</v>
      </c>
      <c r="L41" s="1458">
        <f>-Travel.Time.Costs!H96</f>
        <v>1393983.3574318832</v>
      </c>
      <c r="M41" s="1623">
        <f t="shared" si="6"/>
        <v>1007043.2366333698</v>
      </c>
      <c r="N41" s="914">
        <f t="shared" si="7"/>
        <v>662271.4514000701</v>
      </c>
    </row>
    <row r="42" spans="2:25" ht="15" customHeight="1" x14ac:dyDescent="0.25">
      <c r="B42" s="931">
        <f t="shared" si="8"/>
        <v>12</v>
      </c>
      <c r="C42" s="1620">
        <f t="shared" si="9"/>
        <v>2028</v>
      </c>
      <c r="D42" s="932">
        <f>Travel.Time.Costs!I65</f>
        <v>-1829677.0094313179</v>
      </c>
      <c r="E42" s="1631">
        <f>-Travel.Time.Costs!L65</f>
        <v>39581449.609442808</v>
      </c>
      <c r="F42" s="1623">
        <f t="shared" si="4"/>
        <v>27761632.384935204</v>
      </c>
      <c r="G42" s="914">
        <f t="shared" si="5"/>
        <v>17574636.990677137</v>
      </c>
      <c r="H42" s="923"/>
      <c r="I42" s="931">
        <f t="shared" si="10"/>
        <v>12</v>
      </c>
      <c r="J42" s="1620">
        <f t="shared" si="10"/>
        <v>2028</v>
      </c>
      <c r="K42" s="932">
        <f>Travel.Time.Costs!G97</f>
        <v>-54452.845793782799</v>
      </c>
      <c r="L42" s="1458">
        <f>-Travel.Time.Costs!H97</f>
        <v>1481117.4055908921</v>
      </c>
      <c r="M42" s="1623">
        <f t="shared" si="6"/>
        <v>1038825.9484850672</v>
      </c>
      <c r="N42" s="914">
        <f t="shared" si="7"/>
        <v>657633.84112196672</v>
      </c>
    </row>
    <row r="43" spans="2:25" ht="15" customHeight="1" x14ac:dyDescent="0.25">
      <c r="B43" s="931">
        <f t="shared" si="8"/>
        <v>13</v>
      </c>
      <c r="C43" s="1620">
        <f t="shared" si="9"/>
        <v>2029</v>
      </c>
      <c r="D43" s="932">
        <f>Travel.Time.Costs!I66</f>
        <v>-2205420.7951238779</v>
      </c>
      <c r="E43" s="1631">
        <f>-Travel.Time.Costs!L66</f>
        <v>47350341.672212422</v>
      </c>
      <c r="F43" s="1623">
        <f t="shared" si="4"/>
        <v>32243278.610827859</v>
      </c>
      <c r="G43" s="914">
        <f t="shared" si="5"/>
        <v>19648708.389343243</v>
      </c>
      <c r="H43" s="923"/>
      <c r="I43" s="931">
        <f t="shared" si="10"/>
        <v>13</v>
      </c>
      <c r="J43" s="1620">
        <f t="shared" si="10"/>
        <v>2029</v>
      </c>
      <c r="K43" s="932">
        <f>Travel.Time.Costs!G98</f>
        <v>-57822.838605371537</v>
      </c>
      <c r="L43" s="1458">
        <f>-Travel.Time.Costs!H98</f>
        <v>1572781.2100661057</v>
      </c>
      <c r="M43" s="1623">
        <f t="shared" si="6"/>
        <v>1070987.4725106065</v>
      </c>
      <c r="N43" s="914">
        <f t="shared" si="7"/>
        <v>652648.28648454766</v>
      </c>
    </row>
    <row r="44" spans="2:25" ht="15" customHeight="1" x14ac:dyDescent="0.25">
      <c r="B44" s="931">
        <f t="shared" si="8"/>
        <v>14</v>
      </c>
      <c r="C44" s="1620">
        <f t="shared" si="9"/>
        <v>2030</v>
      </c>
      <c r="D44" s="932">
        <f>Travel.Time.Costs!I67</f>
        <v>-2602292.157377189</v>
      </c>
      <c r="E44" s="1631">
        <f>-Travel.Time.Costs!L67</f>
        <v>55556209.807201624</v>
      </c>
      <c r="F44" s="1623">
        <f t="shared" si="4"/>
        <v>36729199.527335994</v>
      </c>
      <c r="G44" s="914">
        <f t="shared" si="5"/>
        <v>21545656.008808583</v>
      </c>
      <c r="H44" s="923"/>
      <c r="I44" s="931">
        <f t="shared" si="10"/>
        <v>14</v>
      </c>
      <c r="J44" s="1620">
        <f t="shared" si="10"/>
        <v>2030</v>
      </c>
      <c r="K44" s="932">
        <f>Travel.Time.Costs!G99</f>
        <v>-61367.307281596266</v>
      </c>
      <c r="L44" s="1458">
        <f>-Travel.Time.Costs!H99</f>
        <v>1669190.7580594183</v>
      </c>
      <c r="M44" s="1623">
        <f t="shared" si="6"/>
        <v>1103531.7314609603</v>
      </c>
      <c r="N44" s="914">
        <f t="shared" si="7"/>
        <v>647340.95452222065</v>
      </c>
    </row>
    <row r="45" spans="2:25" ht="15" customHeight="1" x14ac:dyDescent="0.25">
      <c r="B45" s="931">
        <f t="shared" si="8"/>
        <v>15</v>
      </c>
      <c r="C45" s="1620">
        <f t="shared" si="9"/>
        <v>2031</v>
      </c>
      <c r="D45" s="932">
        <f>Travel.Time.Costs!I68</f>
        <v>-3021262.3134325249</v>
      </c>
      <c r="E45" s="1631">
        <f>-Travel.Time.Costs!L68</f>
        <v>64219186.24883306</v>
      </c>
      <c r="F45" s="1623">
        <f t="shared" si="4"/>
        <v>41219851.945908502</v>
      </c>
      <c r="G45" s="914">
        <f t="shared" si="5"/>
        <v>23275988.4405609</v>
      </c>
      <c r="H45" s="923"/>
      <c r="I45" s="931">
        <f t="shared" si="10"/>
        <v>15</v>
      </c>
      <c r="J45" s="1620">
        <f t="shared" si="10"/>
        <v>2031</v>
      </c>
      <c r="K45" s="932">
        <f>Travel.Time.Costs!G100</f>
        <v>-65094.552826207328</v>
      </c>
      <c r="L45" s="1458">
        <f>-Travel.Time.Costs!H100</f>
        <v>1770571.8368728394</v>
      </c>
      <c r="M45" s="1623">
        <f t="shared" si="6"/>
        <v>1136462.6872209841</v>
      </c>
      <c r="N45" s="914">
        <f t="shared" si="7"/>
        <v>641736.71476542193</v>
      </c>
    </row>
    <row r="46" spans="2:25" ht="15" customHeight="1" x14ac:dyDescent="0.25">
      <c r="B46" s="931">
        <f t="shared" si="8"/>
        <v>16</v>
      </c>
      <c r="C46" s="1620">
        <f t="shared" si="9"/>
        <v>2032</v>
      </c>
      <c r="D46" s="932">
        <f>Travel.Time.Costs!I69</f>
        <v>-3463344.0090607945</v>
      </c>
      <c r="E46" s="1631">
        <f>-Travel.Time.Costs!L69</f>
        <v>73360266.127788097</v>
      </c>
      <c r="F46" s="1623">
        <f t="shared" si="4"/>
        <v>45715692.503226742</v>
      </c>
      <c r="G46" s="914">
        <f t="shared" si="5"/>
        <v>24849660.241047684</v>
      </c>
      <c r="H46" s="923"/>
      <c r="I46" s="931">
        <f t="shared" si="10"/>
        <v>16</v>
      </c>
      <c r="J46" s="1620">
        <f t="shared" si="10"/>
        <v>2032</v>
      </c>
      <c r="K46" s="932">
        <f>Travel.Time.Costs!G101</f>
        <v>-69013.252377696757</v>
      </c>
      <c r="L46" s="1458">
        <f>-Travel.Time.Costs!H101</f>
        <v>1877160.4646733517</v>
      </c>
      <c r="M46" s="1623">
        <f t="shared" si="6"/>
        <v>1169784.3411955002</v>
      </c>
      <c r="N46" s="914">
        <f t="shared" si="7"/>
        <v>635859.19500080252</v>
      </c>
    </row>
    <row r="47" spans="2:25" ht="15" customHeight="1" x14ac:dyDescent="0.25">
      <c r="B47" s="931">
        <f t="shared" si="8"/>
        <v>17</v>
      </c>
      <c r="C47" s="1620">
        <f t="shared" si="9"/>
        <v>2033</v>
      </c>
      <c r="D47" s="932">
        <f>Travel.Time.Costs!I70</f>
        <v>-3929593.2388664437</v>
      </c>
      <c r="E47" s="1631">
        <f>-Travel.Time.Costs!L70</f>
        <v>83001343.294336125</v>
      </c>
      <c r="F47" s="1623">
        <f t="shared" si="4"/>
        <v>50217177.720280975</v>
      </c>
      <c r="G47" s="914">
        <f t="shared" si="5"/>
        <v>26276099.661106817</v>
      </c>
      <c r="H47" s="923"/>
      <c r="I47" s="931">
        <f t="shared" si="10"/>
        <v>17</v>
      </c>
      <c r="J47" s="1620">
        <f t="shared" si="10"/>
        <v>2033</v>
      </c>
      <c r="K47" s="932">
        <f>Travel.Time.Costs!G102</f>
        <v>-73132.47572738622</v>
      </c>
      <c r="L47" s="1458">
        <f>-Travel.Time.Costs!H102</f>
        <v>1989203.3397849051</v>
      </c>
      <c r="M47" s="1623">
        <f t="shared" si="6"/>
        <v>1203500.734699212</v>
      </c>
      <c r="N47" s="914">
        <f t="shared" si="7"/>
        <v>629730.83480157855</v>
      </c>
    </row>
    <row r="48" spans="2:25" ht="15" customHeight="1" x14ac:dyDescent="0.25">
      <c r="B48" s="931">
        <f t="shared" si="8"/>
        <v>18</v>
      </c>
      <c r="C48" s="1620">
        <f t="shared" si="9"/>
        <v>2034</v>
      </c>
      <c r="D48" s="932">
        <f>Travel.Time.Costs!I71</f>
        <v>-4421111.0367993182</v>
      </c>
      <c r="E48" s="1631">
        <f>-Travel.Time.Costs!L71</f>
        <v>93165247.606425628</v>
      </c>
      <c r="F48" s="1623">
        <f t="shared" si="4"/>
        <v>54724764.06125021</v>
      </c>
      <c r="G48" s="914">
        <f t="shared" si="5"/>
        <v>27564235.021908496</v>
      </c>
      <c r="H48" s="923"/>
      <c r="I48" s="931">
        <f t="shared" si="10"/>
        <v>18</v>
      </c>
      <c r="J48" s="1620">
        <f t="shared" si="10"/>
        <v>2034</v>
      </c>
      <c r="K48" s="932">
        <f>Travel.Time.Costs!G103</f>
        <v>-77461.702547499168</v>
      </c>
      <c r="L48" s="1458">
        <f>-Travel.Time.Costs!H103</f>
        <v>2106958.3092919774</v>
      </c>
      <c r="M48" s="1623">
        <f t="shared" si="6"/>
        <v>1237615.9493504276</v>
      </c>
      <c r="N48" s="914">
        <f t="shared" si="7"/>
        <v>623372.93691345782</v>
      </c>
    </row>
    <row r="49" spans="2:23" ht="15" customHeight="1" x14ac:dyDescent="0.25">
      <c r="B49" s="931">
        <f t="shared" si="8"/>
        <v>19</v>
      </c>
      <c r="C49" s="1620">
        <f t="shared" si="9"/>
        <v>2035</v>
      </c>
      <c r="D49" s="932">
        <f>Travel.Time.Costs!I72</f>
        <v>-4939045.3397196429</v>
      </c>
      <c r="E49" s="1631">
        <f>-Travel.Time.Costs!L72</f>
        <v>103875783.74199164</v>
      </c>
      <c r="F49" s="1623">
        <f t="shared" si="4"/>
        <v>59238907.992195167</v>
      </c>
      <c r="G49" s="914">
        <f t="shared" si="5"/>
        <v>28722519.80269257</v>
      </c>
      <c r="H49" s="923"/>
      <c r="I49" s="931">
        <f t="shared" si="10"/>
        <v>19</v>
      </c>
      <c r="J49" s="1620">
        <f t="shared" si="10"/>
        <v>2035</v>
      </c>
      <c r="K49" s="932">
        <f>Travel.Time.Costs!G104</f>
        <v>-82010.84035927034</v>
      </c>
      <c r="L49" s="1458">
        <f>-Travel.Time.Costs!H104</f>
        <v>2230694.8577721533</v>
      </c>
      <c r="M49" s="1623">
        <f t="shared" si="6"/>
        <v>1272134.1074686735</v>
      </c>
      <c r="N49" s="914">
        <f t="shared" si="7"/>
        <v>616805.7165784298</v>
      </c>
    </row>
    <row r="50" spans="2:23" ht="15" customHeight="1" x14ac:dyDescent="0.25">
      <c r="B50" s="931">
        <f t="shared" si="8"/>
        <v>20</v>
      </c>
      <c r="C50" s="1620">
        <f t="shared" si="9"/>
        <v>2036</v>
      </c>
      <c r="D50" s="932">
        <f>Travel.Time.Costs!I73</f>
        <v>-5484592.9269762188</v>
      </c>
      <c r="E50" s="1631">
        <f>-Travel.Time.Costs!L73</f>
        <v>115157771.59733438</v>
      </c>
      <c r="F50" s="1623">
        <f t="shared" si="4"/>
        <v>63760066.039571822</v>
      </c>
      <c r="G50" s="914">
        <f t="shared" si="5"/>
        <v>29758956.502450403</v>
      </c>
      <c r="H50" s="923"/>
      <c r="I50" s="931">
        <f t="shared" si="10"/>
        <v>20</v>
      </c>
      <c r="J50" s="1620">
        <f t="shared" si="10"/>
        <v>2036</v>
      </c>
      <c r="K50" s="932">
        <f>Travel.Time.Costs!G105</f>
        <v>-86790.243272397507</v>
      </c>
      <c r="L50" s="1458">
        <f>-Travel.Time.Costs!H105</f>
        <v>2360694.6170092123</v>
      </c>
      <c r="M50" s="1623">
        <f t="shared" si="6"/>
        <v>1307059.3724761968</v>
      </c>
      <c r="N50" s="914">
        <f t="shared" si="7"/>
        <v>610048.34887558827</v>
      </c>
    </row>
    <row r="51" spans="2:23" ht="15" customHeight="1" x14ac:dyDescent="0.25">
      <c r="B51" s="931">
        <f t="shared" si="8"/>
        <v>21</v>
      </c>
      <c r="C51" s="1620">
        <f t="shared" si="9"/>
        <v>2037</v>
      </c>
      <c r="D51" s="932">
        <f>Travel.Time.Costs!I74</f>
        <v>-6059001.4390774965</v>
      </c>
      <c r="E51" s="1631">
        <f>-Travel.Time.Costs!L74</f>
        <v>127037088.33593214</v>
      </c>
      <c r="F51" s="1623">
        <f t="shared" si="4"/>
        <v>68288694.848576009</v>
      </c>
      <c r="G51" s="914">
        <f t="shared" si="5"/>
        <v>30681119.334718626</v>
      </c>
      <c r="H51" s="923"/>
      <c r="I51" s="931">
        <f t="shared" si="10"/>
        <v>21</v>
      </c>
      <c r="J51" s="1620">
        <f t="shared" si="10"/>
        <v>2037</v>
      </c>
      <c r="K51" s="932">
        <f>Travel.Time.Costs!G106</f>
        <v>-91810.731528456017</v>
      </c>
      <c r="L51" s="1458">
        <f>-Travel.Time.Costs!H106</f>
        <v>2497251.8975740038</v>
      </c>
      <c r="M51" s="1623">
        <f t="shared" si="6"/>
        <v>1342395.9493034396</v>
      </c>
      <c r="N51" s="914">
        <f t="shared" si="7"/>
        <v>603119.01415524806</v>
      </c>
    </row>
    <row r="52" spans="2:23" ht="15" customHeight="1" x14ac:dyDescent="0.25">
      <c r="B52" s="931">
        <f t="shared" si="8"/>
        <v>22</v>
      </c>
      <c r="C52" s="1620">
        <f t="shared" si="9"/>
        <v>2038</v>
      </c>
      <c r="D52" s="932">
        <f>Travel.Time.Costs!I75</f>
        <v>-6663571.4786594994</v>
      </c>
      <c r="E52" s="1631">
        <f>-Travel.Time.Costs!L75</f>
        <v>139540712.15464589</v>
      </c>
      <c r="F52" s="1623">
        <f t="shared" si="4"/>
        <v>72825251.24132514</v>
      </c>
      <c r="G52" s="914">
        <f t="shared" si="5"/>
        <v>31496175.811809484</v>
      </c>
      <c r="H52" s="923"/>
      <c r="I52" s="931">
        <f t="shared" si="10"/>
        <v>22</v>
      </c>
      <c r="J52" s="1620">
        <f t="shared" si="10"/>
        <v>2038</v>
      </c>
      <c r="K52" s="932">
        <f>Travel.Time.Costs!G107</f>
        <v>-97083.611882254176</v>
      </c>
      <c r="L52" s="1458">
        <f>-Travel.Time.Costs!H107</f>
        <v>2640674.2431973135</v>
      </c>
      <c r="M52" s="1623">
        <f t="shared" si="6"/>
        <v>1378148.0847984748</v>
      </c>
      <c r="N52" s="914">
        <f t="shared" si="7"/>
        <v>596034.94163972151</v>
      </c>
    </row>
    <row r="53" spans="2:23" ht="15" customHeight="1" x14ac:dyDescent="0.25">
      <c r="B53" s="931">
        <f t="shared" si="8"/>
        <v>23</v>
      </c>
      <c r="C53" s="1620">
        <f t="shared" si="9"/>
        <v>2039</v>
      </c>
      <c r="D53" s="932">
        <f>Travel.Time.Costs!I76</f>
        <v>-7299658.7970842663</v>
      </c>
      <c r="E53" s="1631">
        <f>-Travel.Time.Costs!L76</f>
        <v>152696767.83699167</v>
      </c>
      <c r="F53" s="1623">
        <f t="shared" si="4"/>
        <v>77370192.274888471</v>
      </c>
      <c r="G53" s="914">
        <f t="shared" si="5"/>
        <v>32210907.272100817</v>
      </c>
      <c r="H53" s="923"/>
      <c r="I53" s="931">
        <f t="shared" si="10"/>
        <v>23</v>
      </c>
      <c r="J53" s="1620">
        <f t="shared" si="10"/>
        <v>2039</v>
      </c>
      <c r="K53" s="932">
        <f>Travel.Time.Costs!G108</f>
        <v>-102620.69885653441</v>
      </c>
      <c r="L53" s="1458">
        <f>-Travel.Time.Costs!H108</f>
        <v>2791283.0088977357</v>
      </c>
      <c r="M53" s="1623">
        <f t="shared" si="6"/>
        <v>1414320.0681404928</v>
      </c>
      <c r="N53" s="914">
        <f t="shared" si="7"/>
        <v>588812.4512614233</v>
      </c>
    </row>
    <row r="54" spans="2:23" ht="15" customHeight="1" x14ac:dyDescent="0.25">
      <c r="B54" s="931">
        <f t="shared" si="8"/>
        <v>24</v>
      </c>
      <c r="C54" s="1620">
        <f t="shared" si="9"/>
        <v>2040</v>
      </c>
      <c r="D54" s="932">
        <f>Travel.Time.Costs!I77</f>
        <v>-7968676.5701366384</v>
      </c>
      <c r="E54" s="1631">
        <f>-Travel.Time.Costs!L77</f>
        <v>166534574.16596287</v>
      </c>
      <c r="F54" s="1623">
        <f t="shared" si="4"/>
        <v>81923975.299171269</v>
      </c>
      <c r="G54" s="914">
        <f t="shared" si="5"/>
        <v>32831728.401431724</v>
      </c>
      <c r="H54" s="923"/>
      <c r="I54" s="931">
        <f t="shared" si="10"/>
        <v>24</v>
      </c>
      <c r="J54" s="1620">
        <f t="shared" si="10"/>
        <v>2040</v>
      </c>
      <c r="K54" s="932">
        <f>Travel.Time.Costs!G109</f>
        <v>-108434.3369068983</v>
      </c>
      <c r="L54" s="1458">
        <f>-Travel.Time.Costs!H109</f>
        <v>2949413.9638676336</v>
      </c>
      <c r="M54" s="1623">
        <f t="shared" si="6"/>
        <v>1450916.2312573278</v>
      </c>
      <c r="N54" s="914">
        <f t="shared" si="7"/>
        <v>581466.99380628532</v>
      </c>
    </row>
    <row r="55" spans="2:23" ht="15" customHeight="1" x14ac:dyDescent="0.25">
      <c r="B55" s="931">
        <f t="shared" si="8"/>
        <v>25</v>
      </c>
      <c r="C55" s="1620">
        <f t="shared" si="9"/>
        <v>2041</v>
      </c>
      <c r="D55" s="932">
        <f>Travel.Time.Costs!I78</f>
        <v>-8672097.7664278671</v>
      </c>
      <c r="E55" s="1631">
        <f>-Travel.Time.Costs!L78</f>
        <v>181084693.27182677</v>
      </c>
      <c r="F55" s="1623">
        <f t="shared" si="4"/>
        <v>86487058.01466386</v>
      </c>
      <c r="G55" s="914">
        <f t="shared" si="5"/>
        <v>33364705.797201116</v>
      </c>
      <c r="H55" s="923"/>
      <c r="I55" s="931">
        <f t="shared" ref="I55:J57" si="11">I54+1</f>
        <v>25</v>
      </c>
      <c r="J55" s="1620">
        <f t="shared" si="11"/>
        <v>2041</v>
      </c>
      <c r="K55" s="932">
        <f>Travel.Time.Costs!G110</f>
        <v>-114537.42353538056</v>
      </c>
      <c r="L55" s="1458">
        <f>-Travel.Time.Costs!H110</f>
        <v>3115417.9201623509</v>
      </c>
      <c r="M55" s="1623">
        <f t="shared" si="6"/>
        <v>1487940.9492471153</v>
      </c>
      <c r="N55" s="914">
        <f t="shared" si="7"/>
        <v>574013.18942795938</v>
      </c>
    </row>
    <row r="56" spans="2:23" ht="15" customHeight="1" x14ac:dyDescent="0.25">
      <c r="B56" s="931">
        <f t="shared" si="8"/>
        <v>26</v>
      </c>
      <c r="C56" s="1620">
        <f t="shared" si="9"/>
        <v>2042</v>
      </c>
      <c r="D56" s="932">
        <f>Travel.Time.Costs!I79</f>
        <v>-9411457.6122597549</v>
      </c>
      <c r="E56" s="1631">
        <f>-Travel.Time.Costs!L79</f>
        <v>196378981.99336135</v>
      </c>
      <c r="F56" s="1623">
        <f t="shared" si="4"/>
        <v>91059898.530062675</v>
      </c>
      <c r="G56" s="914">
        <f t="shared" si="5"/>
        <v>33815575.621431336</v>
      </c>
      <c r="H56" s="923"/>
      <c r="I56" s="931">
        <f t="shared" si="11"/>
        <v>26</v>
      </c>
      <c r="J56" s="1620">
        <f t="shared" si="11"/>
        <v>2042</v>
      </c>
      <c r="K56" s="932">
        <f>Travel.Time.Costs!G111</f>
        <v>-120943.43339269535</v>
      </c>
      <c r="L56" s="1458">
        <f>-Travel.Time.Costs!H111</f>
        <v>3289661.3882813137</v>
      </c>
      <c r="M56" s="1623">
        <f t="shared" si="6"/>
        <v>1525398.6408040759</v>
      </c>
      <c r="N56" s="914">
        <f t="shared" si="7"/>
        <v>566464.86459579528</v>
      </c>
    </row>
    <row r="57" spans="2:23" ht="15" customHeight="1" x14ac:dyDescent="0.25">
      <c r="B57" s="931">
        <f t="shared" si="8"/>
        <v>27</v>
      </c>
      <c r="C57" s="1620">
        <f t="shared" si="9"/>
        <v>2043</v>
      </c>
      <c r="D57" s="932">
        <f>Travel.Time.Costs!I80</f>
        <v>-10188356.156854995</v>
      </c>
      <c r="E57" s="1631">
        <f>-Travel.Time.Costs!L80</f>
        <v>212450645.33417574</v>
      </c>
      <c r="F57" s="1623">
        <f t="shared" si="4"/>
        <v>95642955.41977185</v>
      </c>
      <c r="G57" s="914">
        <f t="shared" si="5"/>
        <v>34189760.386838064</v>
      </c>
      <c r="H57" s="923"/>
      <c r="I57" s="931">
        <f t="shared" si="11"/>
        <v>27</v>
      </c>
      <c r="J57" s="1620">
        <f t="shared" si="11"/>
        <v>2043</v>
      </c>
      <c r="K57" s="932">
        <f>Travel.Time.Costs!G112</f>
        <v>-127666.44341085374</v>
      </c>
      <c r="L57" s="1458">
        <f>-Travel.Time.Costs!H112</f>
        <v>3472527.2607752215</v>
      </c>
      <c r="M57" s="1623">
        <f t="shared" si="6"/>
        <v>1563293.7686484884</v>
      </c>
      <c r="N57" s="914">
        <f t="shared" si="7"/>
        <v>558835.0875372435</v>
      </c>
    </row>
    <row r="58" spans="2:23" ht="15" customHeight="1" thickBot="1" x14ac:dyDescent="0.3">
      <c r="B58" s="1635" t="s">
        <v>314</v>
      </c>
      <c r="C58" s="1636"/>
      <c r="D58" s="933">
        <f>SUM(D37:D57)</f>
        <v>-92347760.050776899</v>
      </c>
      <c r="E58" s="1637">
        <f>SUM(E37:E57)</f>
        <v>1946351493.6218312</v>
      </c>
      <c r="F58" s="1634">
        <f>SUM(F37:F57)</f>
        <v>1056909667.8246722</v>
      </c>
      <c r="G58" s="1629">
        <f>SUM(G37:G57)</f>
        <v>497557501.01765037</v>
      </c>
      <c r="H58" s="926"/>
      <c r="I58" s="1635" t="s">
        <v>314</v>
      </c>
      <c r="J58" s="1636"/>
      <c r="K58" s="933">
        <f>SUM(K37:K57)</f>
        <v>-1617526.8045483804</v>
      </c>
      <c r="L58" s="1637">
        <f>SUM(L37:L57)</f>
        <v>43996729.083715953</v>
      </c>
      <c r="M58" s="1634">
        <f>SUM(M37:M57)</f>
        <v>25427146.208423302</v>
      </c>
      <c r="N58" s="1629">
        <f>SUM(N37:N57)</f>
        <v>13133704.371382557</v>
      </c>
    </row>
    <row r="59" spans="2:23" ht="12" x14ac:dyDescent="0.25">
      <c r="B59" s="927" t="s">
        <v>338</v>
      </c>
      <c r="H59" s="904"/>
      <c r="I59" s="927" t="s">
        <v>338</v>
      </c>
      <c r="N59" s="905"/>
    </row>
    <row r="60" spans="2:23" ht="12" x14ac:dyDescent="0.25">
      <c r="H60" s="904"/>
      <c r="I60" s="904"/>
      <c r="J60" s="904"/>
    </row>
    <row r="61" spans="2:23" ht="16.5" thickBot="1" x14ac:dyDescent="0.3">
      <c r="B61" s="945" t="s">
        <v>963</v>
      </c>
      <c r="C61" s="900"/>
      <c r="D61" s="900"/>
      <c r="E61" s="900"/>
      <c r="F61" s="900"/>
      <c r="G61" s="900"/>
      <c r="H61" s="900"/>
      <c r="I61" s="945" t="s">
        <v>964</v>
      </c>
      <c r="J61" s="900"/>
      <c r="K61" s="900"/>
      <c r="L61" s="900"/>
      <c r="M61" s="900"/>
      <c r="N61" s="900"/>
      <c r="Q61" s="945" t="s">
        <v>964</v>
      </c>
      <c r="R61" s="900"/>
      <c r="S61" s="900"/>
      <c r="T61" s="900"/>
      <c r="U61" s="900"/>
      <c r="V61" s="900"/>
    </row>
    <row r="62" spans="2:23" ht="12" x14ac:dyDescent="0.25">
      <c r="B62" s="907" t="s">
        <v>182</v>
      </c>
      <c r="C62" s="928" t="s">
        <v>180</v>
      </c>
      <c r="D62" s="928" t="s">
        <v>178</v>
      </c>
      <c r="E62" s="928" t="s">
        <v>268</v>
      </c>
      <c r="F62" s="928" t="s">
        <v>269</v>
      </c>
      <c r="G62" s="909" t="s">
        <v>270</v>
      </c>
      <c r="I62" s="907" t="s">
        <v>182</v>
      </c>
      <c r="J62" s="928" t="s">
        <v>180</v>
      </c>
      <c r="K62" s="928" t="s">
        <v>178</v>
      </c>
      <c r="L62" s="928" t="s">
        <v>268</v>
      </c>
      <c r="M62" s="928" t="s">
        <v>269</v>
      </c>
      <c r="N62" s="936" t="s">
        <v>270</v>
      </c>
      <c r="O62" s="929" t="s">
        <v>271</v>
      </c>
      <c r="Q62" s="907" t="s">
        <v>182</v>
      </c>
      <c r="R62" s="928" t="s">
        <v>180</v>
      </c>
      <c r="S62" s="928" t="s">
        <v>178</v>
      </c>
      <c r="T62" s="928" t="s">
        <v>268</v>
      </c>
      <c r="U62" s="928" t="s">
        <v>269</v>
      </c>
      <c r="V62" s="936" t="s">
        <v>270</v>
      </c>
      <c r="W62" s="929" t="s">
        <v>271</v>
      </c>
    </row>
    <row r="63" spans="2:23" ht="24.9" customHeight="1" x14ac:dyDescent="0.3">
      <c r="B63" s="1782" t="s">
        <v>7</v>
      </c>
      <c r="C63" s="1783" t="s">
        <v>275</v>
      </c>
      <c r="D63" s="1784" t="s">
        <v>340</v>
      </c>
      <c r="E63" s="1784" t="s">
        <v>689</v>
      </c>
      <c r="F63" s="1785" t="s">
        <v>362</v>
      </c>
      <c r="G63" s="1786"/>
      <c r="I63" s="1782" t="s">
        <v>7</v>
      </c>
      <c r="J63" s="1783" t="s">
        <v>275</v>
      </c>
      <c r="K63" s="1784" t="s">
        <v>965</v>
      </c>
      <c r="L63" s="1784" t="s">
        <v>966</v>
      </c>
      <c r="M63" s="1784" t="s">
        <v>689</v>
      </c>
      <c r="N63" s="1785" t="s">
        <v>362</v>
      </c>
      <c r="O63" s="1786"/>
      <c r="Q63" s="1782" t="s">
        <v>7</v>
      </c>
      <c r="R63" s="1783" t="s">
        <v>275</v>
      </c>
      <c r="S63" s="1784" t="s">
        <v>968</v>
      </c>
      <c r="T63" s="1784" t="s">
        <v>969</v>
      </c>
      <c r="U63" s="1784" t="s">
        <v>689</v>
      </c>
      <c r="V63" s="1785" t="s">
        <v>362</v>
      </c>
      <c r="W63" s="1786"/>
    </row>
    <row r="64" spans="2:23" ht="12" x14ac:dyDescent="0.3">
      <c r="B64" s="1782"/>
      <c r="C64" s="1783"/>
      <c r="D64" s="1784"/>
      <c r="E64" s="1784"/>
      <c r="F64" s="1621">
        <f>3/100</f>
        <v>0.03</v>
      </c>
      <c r="G64" s="921">
        <f>7/100</f>
        <v>7.0000000000000007E-2</v>
      </c>
      <c r="I64" s="1782"/>
      <c r="J64" s="1783"/>
      <c r="K64" s="1784"/>
      <c r="L64" s="1784"/>
      <c r="M64" s="1784"/>
      <c r="N64" s="1621">
        <f>3/100</f>
        <v>0.03</v>
      </c>
      <c r="O64" s="921">
        <f>7/100</f>
        <v>7.0000000000000007E-2</v>
      </c>
      <c r="Q64" s="1782"/>
      <c r="R64" s="1783"/>
      <c r="S64" s="1784"/>
      <c r="T64" s="1784"/>
      <c r="U64" s="1784"/>
      <c r="V64" s="1621">
        <f>3/100</f>
        <v>0.03</v>
      </c>
      <c r="W64" s="921">
        <f>7/100</f>
        <v>7.0000000000000007E-2</v>
      </c>
    </row>
    <row r="65" spans="2:25" ht="24" x14ac:dyDescent="0.3">
      <c r="B65" s="1782"/>
      <c r="C65" s="1783"/>
      <c r="D65" s="1784"/>
      <c r="E65" s="1784"/>
      <c r="F65" s="1622" t="s">
        <v>379</v>
      </c>
      <c r="G65" s="1616" t="s">
        <v>380</v>
      </c>
      <c r="I65" s="1782"/>
      <c r="J65" s="1783"/>
      <c r="K65" s="1784"/>
      <c r="L65" s="1784"/>
      <c r="M65" s="1784"/>
      <c r="N65" s="1622" t="s">
        <v>379</v>
      </c>
      <c r="O65" s="1616" t="s">
        <v>380</v>
      </c>
      <c r="Q65" s="1782"/>
      <c r="R65" s="1783"/>
      <c r="S65" s="1784"/>
      <c r="T65" s="1784"/>
      <c r="U65" s="1784"/>
      <c r="V65" s="1622" t="s">
        <v>379</v>
      </c>
      <c r="W65" s="1616" t="s">
        <v>380</v>
      </c>
    </row>
    <row r="66" spans="2:25" ht="12" x14ac:dyDescent="0.25">
      <c r="B66" s="931">
        <v>7</v>
      </c>
      <c r="C66" s="1620">
        <v>2023</v>
      </c>
      <c r="D66" s="932">
        <f>'VOC.1 '!I54</f>
        <v>18758501.96039886</v>
      </c>
      <c r="E66" s="1627">
        <f>-'VOC.1 '!L54</f>
        <v>-10696012.047460074</v>
      </c>
      <c r="F66" s="1627">
        <f>E66/(1+$F$64)^B66</f>
        <v>-8696836.6010160316</v>
      </c>
      <c r="G66" s="1627">
        <f>E66/(1+$G$64)^B66</f>
        <v>-6660938.7417502375</v>
      </c>
      <c r="I66" s="931">
        <v>7</v>
      </c>
      <c r="J66" s="1620">
        <v>2023</v>
      </c>
      <c r="K66" s="932">
        <f>VOC.2!G142</f>
        <v>2486346.5274420343</v>
      </c>
      <c r="L66" s="932">
        <f>VOC.2!H142</f>
        <v>-316182.91592320055</v>
      </c>
      <c r="M66" s="1627">
        <f>-VOC.2!K142</f>
        <v>-4310476.6576900668</v>
      </c>
      <c r="N66" s="1627">
        <f>M66/(1+$N$64)^I66</f>
        <v>-3504811.9802114647</v>
      </c>
      <c r="O66" s="1627">
        <f>M66/(1+$O$64)^I66</f>
        <v>-2684348.2259760443</v>
      </c>
      <c r="Q66" s="931">
        <v>7</v>
      </c>
      <c r="R66" s="1620">
        <v>2023</v>
      </c>
      <c r="S66" s="1627">
        <f>E66</f>
        <v>-10696012.047460074</v>
      </c>
      <c r="T66" s="1627">
        <f>M66</f>
        <v>-4310476.6576900668</v>
      </c>
      <c r="U66" s="1627">
        <f>S66+T66</f>
        <v>-15006488.70515014</v>
      </c>
      <c r="V66" s="1627">
        <f>U66/(1+$V$64)^Q66</f>
        <v>-12201648.581227496</v>
      </c>
      <c r="W66" s="1638">
        <f>U66/(1+$W$64)^Q66</f>
        <v>-9345286.9677262809</v>
      </c>
      <c r="X66" s="1666"/>
      <c r="Y66" s="1666"/>
    </row>
    <row r="67" spans="2:25" ht="12" x14ac:dyDescent="0.25">
      <c r="B67" s="931">
        <f>B66+1</f>
        <v>8</v>
      </c>
      <c r="C67" s="1620">
        <f>C66+1</f>
        <v>2024</v>
      </c>
      <c r="D67" s="932">
        <f>'VOC.1 '!I55</f>
        <v>19320412.109171703</v>
      </c>
      <c r="E67" s="1627">
        <f>-'VOC.1 '!L55</f>
        <v>-10986297.782803252</v>
      </c>
      <c r="F67" s="1627">
        <f t="shared" ref="F67:F86" si="12">E67/(1+$F$64)^B67</f>
        <v>-8672684.9206676055</v>
      </c>
      <c r="G67" s="1627">
        <f t="shared" ref="G67:G86" si="13">E67/(1+$G$64)^B67</f>
        <v>-6394125.335054188</v>
      </c>
      <c r="I67" s="931">
        <f>I66+1</f>
        <v>8</v>
      </c>
      <c r="J67" s="1620">
        <f>J66+1</f>
        <v>2024</v>
      </c>
      <c r="K67" s="932">
        <f>VOC.2!G143</f>
        <v>2379010.921624803</v>
      </c>
      <c r="L67" s="932">
        <f>VOC.2!H143</f>
        <v>-349668.75361151341</v>
      </c>
      <c r="M67" s="1627">
        <f>-VOC.2!K143</f>
        <v>-4016406.0017662486</v>
      </c>
      <c r="N67" s="1627">
        <f t="shared" ref="N67:N86" si="14">M67/(1+$N$64)^I67</f>
        <v>-3170587.9865481905</v>
      </c>
      <c r="O67" s="1627">
        <f t="shared" ref="O67:O86" si="15">M67/(1+$O$64)^I67</f>
        <v>-2337584.8606576207</v>
      </c>
      <c r="Q67" s="931">
        <f>Q66+1</f>
        <v>8</v>
      </c>
      <c r="R67" s="1620">
        <f>R66+1</f>
        <v>2024</v>
      </c>
      <c r="S67" s="1627">
        <f t="shared" ref="S67:S86" si="16">E67</f>
        <v>-10986297.782803252</v>
      </c>
      <c r="T67" s="1627">
        <f t="shared" ref="T67:T86" si="17">M67</f>
        <v>-4016406.0017662486</v>
      </c>
      <c r="U67" s="1627">
        <f t="shared" ref="U67:U86" si="18">S67+T67</f>
        <v>-15002703.784569502</v>
      </c>
      <c r="V67" s="1627">
        <f t="shared" ref="V67:V86" si="19">U67/(1+$V$64)^Q67</f>
        <v>-11843272.907215796</v>
      </c>
      <c r="W67" s="1638">
        <f t="shared" ref="W67:W86" si="20">U67/(1+$W$64)^Q67</f>
        <v>-8731710.1957118083</v>
      </c>
      <c r="X67" s="1666"/>
      <c r="Y67" s="1666"/>
    </row>
    <row r="68" spans="2:25" ht="12" x14ac:dyDescent="0.25">
      <c r="B68" s="931">
        <f t="shared" ref="B68:B86" si="21">B67+1</f>
        <v>9</v>
      </c>
      <c r="C68" s="1620">
        <f t="shared" ref="C68:C86" si="22">C67+1</f>
        <v>2025</v>
      </c>
      <c r="D68" s="932">
        <f>'VOC.1 '!I56</f>
        <v>19893366.662261307</v>
      </c>
      <c r="E68" s="1627">
        <f>-'VOC.1 '!L56</f>
        <v>-11281486.860262755</v>
      </c>
      <c r="F68" s="1627">
        <f t="shared" si="12"/>
        <v>-8646320.2954201438</v>
      </c>
      <c r="G68" s="1627">
        <f t="shared" si="13"/>
        <v>-6136381.3698166097</v>
      </c>
      <c r="I68" s="931">
        <f t="shared" ref="I68:J83" si="23">I67+1</f>
        <v>9</v>
      </c>
      <c r="J68" s="1620">
        <f t="shared" si="23"/>
        <v>2025</v>
      </c>
      <c r="K68" s="932">
        <f>VOC.2!G144</f>
        <v>1677311.8673924366</v>
      </c>
      <c r="L68" s="932">
        <f>VOC.2!H144</f>
        <v>-355645.73977228859</v>
      </c>
      <c r="M68" s="1627">
        <f>-VOC.2!K144</f>
        <v>-2581772.141651371</v>
      </c>
      <c r="N68" s="1627">
        <f t="shared" si="14"/>
        <v>-1978713.3684602513</v>
      </c>
      <c r="O68" s="1627">
        <f t="shared" si="15"/>
        <v>-1404312.9835079215</v>
      </c>
      <c r="Q68" s="931">
        <f t="shared" ref="Q68:R68" si="24">Q67+1</f>
        <v>9</v>
      </c>
      <c r="R68" s="1620">
        <f t="shared" si="24"/>
        <v>2025</v>
      </c>
      <c r="S68" s="1627">
        <f t="shared" si="16"/>
        <v>-11281486.860262755</v>
      </c>
      <c r="T68" s="1627">
        <f t="shared" si="17"/>
        <v>-2581772.141651371</v>
      </c>
      <c r="U68" s="1627">
        <f t="shared" si="18"/>
        <v>-13863259.001914127</v>
      </c>
      <c r="V68" s="1627">
        <f t="shared" si="19"/>
        <v>-10625033.663880397</v>
      </c>
      <c r="W68" s="1638">
        <f t="shared" si="20"/>
        <v>-7540694.3533245316</v>
      </c>
      <c r="X68" s="1666"/>
      <c r="Y68" s="1666"/>
    </row>
    <row r="69" spans="2:25" ht="12" x14ac:dyDescent="0.25">
      <c r="B69" s="931">
        <f t="shared" si="21"/>
        <v>10</v>
      </c>
      <c r="C69" s="1620">
        <f t="shared" si="22"/>
        <v>2026</v>
      </c>
      <c r="D69" s="932">
        <f>'VOC.1 '!I57</f>
        <v>20477575.210574988</v>
      </c>
      <c r="E69" s="1627">
        <f>-'VOC.1 '!L57</f>
        <v>-11581669.98058559</v>
      </c>
      <c r="F69" s="1627">
        <f t="shared" si="12"/>
        <v>-8617850.1568958107</v>
      </c>
      <c r="G69" s="1627">
        <f t="shared" si="13"/>
        <v>-5887533.7363685956</v>
      </c>
      <c r="I69" s="931">
        <f t="shared" si="23"/>
        <v>10</v>
      </c>
      <c r="J69" s="1620">
        <f t="shared" si="23"/>
        <v>2026</v>
      </c>
      <c r="K69" s="932">
        <f>VOC.2!G145</f>
        <v>1563994.6740202224</v>
      </c>
      <c r="L69" s="932">
        <f>VOC.2!H145</f>
        <v>-361171.84077712521</v>
      </c>
      <c r="M69" s="1627">
        <f>-VOC.2!K145</f>
        <v>-2339644.5276705567</v>
      </c>
      <c r="N69" s="1627">
        <f t="shared" si="14"/>
        <v>-1740915.2560610841</v>
      </c>
      <c r="O69" s="1627">
        <f t="shared" si="15"/>
        <v>-1189356.6394881937</v>
      </c>
      <c r="Q69" s="931">
        <f t="shared" ref="Q69:R69" si="25">Q68+1</f>
        <v>10</v>
      </c>
      <c r="R69" s="1620">
        <f t="shared" si="25"/>
        <v>2026</v>
      </c>
      <c r="S69" s="1627">
        <f t="shared" si="16"/>
        <v>-11581669.98058559</v>
      </c>
      <c r="T69" s="1627">
        <f t="shared" si="17"/>
        <v>-2339644.5276705567</v>
      </c>
      <c r="U69" s="1627">
        <f t="shared" si="18"/>
        <v>-13921314.508256147</v>
      </c>
      <c r="V69" s="1627">
        <f t="shared" si="19"/>
        <v>-10358765.412956895</v>
      </c>
      <c r="W69" s="1638">
        <f t="shared" si="20"/>
        <v>-7076890.3758567888</v>
      </c>
      <c r="X69" s="1666"/>
      <c r="Y69" s="1666"/>
    </row>
    <row r="70" spans="2:25" ht="12" x14ac:dyDescent="0.25">
      <c r="B70" s="931">
        <f t="shared" si="21"/>
        <v>11</v>
      </c>
      <c r="C70" s="1620">
        <f t="shared" si="22"/>
        <v>2027</v>
      </c>
      <c r="D70" s="932">
        <f>'VOC.1 '!I58</f>
        <v>21073251.594194975</v>
      </c>
      <c r="E70" s="1627">
        <f>-'VOC.1 '!L58</f>
        <v>-11886939.700485438</v>
      </c>
      <c r="F70" s="1627">
        <f t="shared" si="12"/>
        <v>-8587378.1532771997</v>
      </c>
      <c r="G70" s="1627">
        <f t="shared" si="13"/>
        <v>-5647399.4227942489</v>
      </c>
      <c r="I70" s="931">
        <f t="shared" si="23"/>
        <v>11</v>
      </c>
      <c r="J70" s="1620">
        <f t="shared" si="23"/>
        <v>2027</v>
      </c>
      <c r="K70" s="932">
        <f>VOC.2!G146</f>
        <v>974884.84585261252</v>
      </c>
      <c r="L70" s="932">
        <f>VOC.2!H146</f>
        <v>-375367.84828486992</v>
      </c>
      <c r="M70" s="1627">
        <f>-VOC.2!K146</f>
        <v>-1114174.0724309033</v>
      </c>
      <c r="N70" s="1627">
        <f t="shared" si="14"/>
        <v>-804903.05575877498</v>
      </c>
      <c r="O70" s="1627">
        <f t="shared" si="15"/>
        <v>-529336.07573374338</v>
      </c>
      <c r="Q70" s="931">
        <f t="shared" ref="Q70:R70" si="26">Q69+1</f>
        <v>11</v>
      </c>
      <c r="R70" s="1620">
        <f t="shared" si="26"/>
        <v>2027</v>
      </c>
      <c r="S70" s="1627">
        <f t="shared" si="16"/>
        <v>-11886939.700485438</v>
      </c>
      <c r="T70" s="1627">
        <f t="shared" si="17"/>
        <v>-1114174.0724309033</v>
      </c>
      <c r="U70" s="1627">
        <f t="shared" si="18"/>
        <v>-13001113.772916341</v>
      </c>
      <c r="V70" s="1627">
        <f t="shared" si="19"/>
        <v>-9392281.209035974</v>
      </c>
      <c r="W70" s="1638">
        <f t="shared" si="20"/>
        <v>-6176735.4985279916</v>
      </c>
      <c r="X70" s="1666"/>
      <c r="Y70" s="1666"/>
    </row>
    <row r="71" spans="2:25" ht="12" x14ac:dyDescent="0.25">
      <c r="B71" s="931">
        <f t="shared" si="21"/>
        <v>12</v>
      </c>
      <c r="C71" s="1620">
        <f t="shared" si="22"/>
        <v>2028</v>
      </c>
      <c r="D71" s="932">
        <f>'VOC.1 '!I59</f>
        <v>21680613.995768707</v>
      </c>
      <c r="E71" s="1627">
        <f>-'VOC.1 '!L59</f>
        <v>-12197390.473938335</v>
      </c>
      <c r="F71" s="1627">
        <f t="shared" si="12"/>
        <v>-8555004.2692777812</v>
      </c>
      <c r="G71" s="1627">
        <f t="shared" si="13"/>
        <v>-5415787.2419576403</v>
      </c>
      <c r="I71" s="931">
        <f t="shared" si="23"/>
        <v>12</v>
      </c>
      <c r="J71" s="1620">
        <f t="shared" si="23"/>
        <v>2028</v>
      </c>
      <c r="K71" s="932">
        <f>VOC.2!G147</f>
        <v>600610.4995180266</v>
      </c>
      <c r="L71" s="932">
        <f>VOC.2!H147</f>
        <v>-406330.90846025851</v>
      </c>
      <c r="M71" s="1627">
        <f>-VOC.2!K147</f>
        <v>-285332.15024155146</v>
      </c>
      <c r="N71" s="1627">
        <f t="shared" si="14"/>
        <v>-200126.22935162278</v>
      </c>
      <c r="O71" s="1627">
        <f t="shared" si="15"/>
        <v>-126690.8870631231</v>
      </c>
      <c r="Q71" s="931">
        <f t="shared" ref="Q71:R71" si="27">Q70+1</f>
        <v>12</v>
      </c>
      <c r="R71" s="1620">
        <f t="shared" si="27"/>
        <v>2028</v>
      </c>
      <c r="S71" s="1627">
        <f t="shared" si="16"/>
        <v>-12197390.473938335</v>
      </c>
      <c r="T71" s="1627">
        <f t="shared" si="17"/>
        <v>-285332.15024155146</v>
      </c>
      <c r="U71" s="1627">
        <f t="shared" si="18"/>
        <v>-12482722.624179887</v>
      </c>
      <c r="V71" s="1627">
        <f t="shared" si="19"/>
        <v>-8755130.4986294042</v>
      </c>
      <c r="W71" s="1638">
        <f t="shared" si="20"/>
        <v>-5542478.1290207645</v>
      </c>
      <c r="X71" s="1666"/>
      <c r="Y71" s="1666"/>
    </row>
    <row r="72" spans="2:25" ht="12" x14ac:dyDescent="0.25">
      <c r="B72" s="931">
        <f t="shared" si="21"/>
        <v>13</v>
      </c>
      <c r="C72" s="1620">
        <f t="shared" si="22"/>
        <v>2029</v>
      </c>
      <c r="D72" s="932">
        <f>'VOC.1 '!I60</f>
        <v>22299885.036070254</v>
      </c>
      <c r="E72" s="1627">
        <f>-'VOC.1 '!L60</f>
        <v>-12513118.694446333</v>
      </c>
      <c r="F72" s="1627">
        <f t="shared" si="12"/>
        <v>-8520824.9424769152</v>
      </c>
      <c r="G72" s="1627">
        <f t="shared" si="13"/>
        <v>-5192499.3904046612</v>
      </c>
      <c r="I72" s="931">
        <f t="shared" si="23"/>
        <v>13</v>
      </c>
      <c r="J72" s="1620">
        <f t="shared" si="23"/>
        <v>2029</v>
      </c>
      <c r="K72" s="932">
        <f>VOC.2!G148</f>
        <v>147181.79633220006</v>
      </c>
      <c r="L72" s="932">
        <f>VOC.2!H148</f>
        <v>-414599.44792108005</v>
      </c>
      <c r="M72" s="1627">
        <f>-VOC.2!K148</f>
        <v>651804.19761448936</v>
      </c>
      <c r="N72" s="1627">
        <f t="shared" si="14"/>
        <v>443846.94177876465</v>
      </c>
      <c r="O72" s="1627">
        <f t="shared" si="15"/>
        <v>270475.56899452786</v>
      </c>
      <c r="Q72" s="931">
        <f t="shared" ref="Q72:R72" si="28">Q71+1</f>
        <v>13</v>
      </c>
      <c r="R72" s="1620">
        <f t="shared" si="28"/>
        <v>2029</v>
      </c>
      <c r="S72" s="1627">
        <f t="shared" si="16"/>
        <v>-12513118.694446333</v>
      </c>
      <c r="T72" s="1627">
        <f t="shared" si="17"/>
        <v>651804.19761448936</v>
      </c>
      <c r="U72" s="1627">
        <f t="shared" si="18"/>
        <v>-11861314.496831844</v>
      </c>
      <c r="V72" s="1627">
        <f t="shared" si="19"/>
        <v>-8076978.0006981511</v>
      </c>
      <c r="W72" s="1638">
        <f t="shared" si="20"/>
        <v>-4922023.8214101335</v>
      </c>
      <c r="X72" s="1666"/>
      <c r="Y72" s="1666"/>
    </row>
    <row r="73" spans="2:25" ht="12" x14ac:dyDescent="0.25">
      <c r="B73" s="931">
        <f t="shared" si="21"/>
        <v>14</v>
      </c>
      <c r="C73" s="1620">
        <f t="shared" si="22"/>
        <v>2030</v>
      </c>
      <c r="D73" s="932">
        <f>'VOC.1 '!I61</f>
        <v>22931291.871787202</v>
      </c>
      <c r="E73" s="1627">
        <f>-'VOC.1 '!L61</f>
        <v>-12834222.738293434</v>
      </c>
      <c r="F73" s="1627">
        <f t="shared" si="12"/>
        <v>-8484933.176127987</v>
      </c>
      <c r="G73" s="1627">
        <f t="shared" si="13"/>
        <v>-4977332.8529667761</v>
      </c>
      <c r="I73" s="931">
        <f t="shared" si="23"/>
        <v>14</v>
      </c>
      <c r="J73" s="1620">
        <f t="shared" si="23"/>
        <v>2030</v>
      </c>
      <c r="K73" s="932">
        <f>VOC.2!G149</f>
        <v>-462575.2155622039</v>
      </c>
      <c r="L73" s="932">
        <f>VOC.2!H149</f>
        <v>-444702.90085558826</v>
      </c>
      <c r="M73" s="1627">
        <f>-VOC.2!K149</f>
        <v>1955529.1573736155</v>
      </c>
      <c r="N73" s="1627">
        <f t="shared" si="14"/>
        <v>1292835.1457371782</v>
      </c>
      <c r="O73" s="1627">
        <f t="shared" si="15"/>
        <v>758387.92254156969</v>
      </c>
      <c r="Q73" s="931">
        <f t="shared" ref="Q73:R73" si="29">Q72+1</f>
        <v>14</v>
      </c>
      <c r="R73" s="1620">
        <f t="shared" si="29"/>
        <v>2030</v>
      </c>
      <c r="S73" s="1627">
        <f t="shared" si="16"/>
        <v>-12834222.738293434</v>
      </c>
      <c r="T73" s="1627">
        <f t="shared" si="17"/>
        <v>1955529.1573736155</v>
      </c>
      <c r="U73" s="1627">
        <f t="shared" si="18"/>
        <v>-10878693.580919817</v>
      </c>
      <c r="V73" s="1627">
        <f t="shared" si="19"/>
        <v>-7192098.0303908074</v>
      </c>
      <c r="W73" s="1638">
        <f t="shared" si="20"/>
        <v>-4218944.9304252062</v>
      </c>
      <c r="X73" s="1666"/>
      <c r="Y73" s="1666"/>
    </row>
    <row r="74" spans="2:25" ht="12" x14ac:dyDescent="0.25">
      <c r="B74" s="931">
        <f t="shared" si="21"/>
        <v>15</v>
      </c>
      <c r="C74" s="1620">
        <f t="shared" si="22"/>
        <v>2031</v>
      </c>
      <c r="D74" s="932">
        <f>'VOC.1 '!I62</f>
        <v>23575066.295582574</v>
      </c>
      <c r="E74" s="1627">
        <f>-'VOC.1 '!L62</f>
        <v>-13160803.008816272</v>
      </c>
      <c r="F74" s="1627">
        <f t="shared" si="12"/>
        <v>-8447418.6485433932</v>
      </c>
      <c r="G74" s="1627">
        <f t="shared" si="13"/>
        <v>-4770080.6658426486</v>
      </c>
      <c r="I74" s="931">
        <f t="shared" si="23"/>
        <v>15</v>
      </c>
      <c r="J74" s="1620">
        <f t="shared" si="23"/>
        <v>2031</v>
      </c>
      <c r="K74" s="932">
        <f>VOC.2!G150</f>
        <v>-852489.08836878184</v>
      </c>
      <c r="L74" s="932">
        <f>VOC.2!H150</f>
        <v>-455835.51812716573</v>
      </c>
      <c r="M74" s="1627">
        <f>-VOC.2!K150</f>
        <v>2770609.5759761198</v>
      </c>
      <c r="N74" s="1627">
        <f t="shared" si="14"/>
        <v>1778348.8579120266</v>
      </c>
      <c r="O74" s="1627">
        <f t="shared" si="15"/>
        <v>1004196.4127955505</v>
      </c>
      <c r="Q74" s="931">
        <f t="shared" ref="Q74:R74" si="30">Q73+1</f>
        <v>15</v>
      </c>
      <c r="R74" s="1620">
        <f t="shared" si="30"/>
        <v>2031</v>
      </c>
      <c r="S74" s="1627">
        <f t="shared" si="16"/>
        <v>-13160803.008816272</v>
      </c>
      <c r="T74" s="1627">
        <f t="shared" si="17"/>
        <v>2770609.5759761198</v>
      </c>
      <c r="U74" s="1627">
        <f t="shared" si="18"/>
        <v>-10390193.432840152</v>
      </c>
      <c r="V74" s="1627">
        <f t="shared" si="19"/>
        <v>-6669069.7906313669</v>
      </c>
      <c r="W74" s="1638">
        <f t="shared" si="20"/>
        <v>-3765884.2530470979</v>
      </c>
      <c r="X74" s="1666"/>
      <c r="Y74" s="1666"/>
    </row>
    <row r="75" spans="2:25" ht="12" x14ac:dyDescent="0.25">
      <c r="B75" s="931">
        <f t="shared" si="21"/>
        <v>16</v>
      </c>
      <c r="C75" s="1620">
        <f t="shared" si="22"/>
        <v>2032</v>
      </c>
      <c r="D75" s="932">
        <f>'VOC.1 '!I63</f>
        <v>24231444.838488329</v>
      </c>
      <c r="E75" s="1627">
        <f>-'VOC.1 '!L63</f>
        <v>-13492961.981715009</v>
      </c>
      <c r="F75" s="1627">
        <f t="shared" si="12"/>
        <v>-8408367.8191587105</v>
      </c>
      <c r="G75" s="1627">
        <f t="shared" si="13"/>
        <v>-4570533.0499610193</v>
      </c>
      <c r="I75" s="931">
        <f t="shared" si="23"/>
        <v>16</v>
      </c>
      <c r="J75" s="1620">
        <f t="shared" si="23"/>
        <v>2032</v>
      </c>
      <c r="K75" s="932">
        <f>VOC.2!G151</f>
        <v>-1804708.0451853583</v>
      </c>
      <c r="L75" s="932">
        <f>VOC.2!H151</f>
        <v>-525894.22211486427</v>
      </c>
      <c r="M75" s="1627">
        <f>-VOC.2!K151</f>
        <v>4859357.4543655049</v>
      </c>
      <c r="N75" s="1627">
        <f t="shared" si="14"/>
        <v>3028190.9114133981</v>
      </c>
      <c r="O75" s="1627">
        <f t="shared" si="15"/>
        <v>1646032.4928543989</v>
      </c>
      <c r="Q75" s="931">
        <f t="shared" ref="Q75:R75" si="31">Q74+1</f>
        <v>16</v>
      </c>
      <c r="R75" s="1620">
        <f t="shared" si="31"/>
        <v>2032</v>
      </c>
      <c r="S75" s="1627">
        <f t="shared" si="16"/>
        <v>-13492961.981715009</v>
      </c>
      <c r="T75" s="1627">
        <f t="shared" si="17"/>
        <v>4859357.4543655049</v>
      </c>
      <c r="U75" s="1627">
        <f t="shared" si="18"/>
        <v>-8633604.5273495037</v>
      </c>
      <c r="V75" s="1627">
        <f t="shared" si="19"/>
        <v>-5380176.907745312</v>
      </c>
      <c r="W75" s="1638">
        <f t="shared" si="20"/>
        <v>-2924500.5571066206</v>
      </c>
      <c r="X75" s="1666"/>
      <c r="Y75" s="1666"/>
    </row>
    <row r="76" spans="2:25" ht="12" x14ac:dyDescent="0.25">
      <c r="B76" s="931">
        <f t="shared" si="21"/>
        <v>17</v>
      </c>
      <c r="C76" s="1620">
        <f t="shared" si="22"/>
        <v>2033</v>
      </c>
      <c r="D76" s="932">
        <f>'VOC.1 '!I64</f>
        <v>24900668.874687284</v>
      </c>
      <c r="E76" s="1627">
        <f>-'VOC.1 '!L64</f>
        <v>-13830804.251429053</v>
      </c>
      <c r="F76" s="1627">
        <f t="shared" si="12"/>
        <v>-8367864.0313743576</v>
      </c>
      <c r="G76" s="1627">
        <f t="shared" si="13"/>
        <v>-4378478.4255245756</v>
      </c>
      <c r="I76" s="931">
        <f t="shared" si="23"/>
        <v>17</v>
      </c>
      <c r="J76" s="1620">
        <f t="shared" si="23"/>
        <v>2033</v>
      </c>
      <c r="K76" s="932">
        <f>VOC.2!G152</f>
        <v>-2306558.5922575742</v>
      </c>
      <c r="L76" s="932">
        <f>VOC.2!H152</f>
        <v>-591597.75001993682</v>
      </c>
      <c r="M76" s="1627">
        <f>-VOC.2!K152</f>
        <v>6026131.5946172625</v>
      </c>
      <c r="N76" s="1627">
        <f t="shared" si="14"/>
        <v>3645908.71956822</v>
      </c>
      <c r="O76" s="1627">
        <f t="shared" si="15"/>
        <v>1907718.9364224761</v>
      </c>
      <c r="Q76" s="931">
        <f t="shared" ref="Q76:R76" si="32">Q75+1</f>
        <v>17</v>
      </c>
      <c r="R76" s="1620">
        <f t="shared" si="32"/>
        <v>2033</v>
      </c>
      <c r="S76" s="1627">
        <f t="shared" si="16"/>
        <v>-13830804.251429053</v>
      </c>
      <c r="T76" s="1627">
        <f t="shared" si="17"/>
        <v>6026131.5946172625</v>
      </c>
      <c r="U76" s="1627">
        <f t="shared" si="18"/>
        <v>-7804672.6568117905</v>
      </c>
      <c r="V76" s="1627">
        <f t="shared" si="19"/>
        <v>-4721955.3118061377</v>
      </c>
      <c r="W76" s="1638">
        <f t="shared" si="20"/>
        <v>-2470759.4891020996</v>
      </c>
      <c r="X76" s="1666"/>
      <c r="Y76" s="1666"/>
    </row>
    <row r="77" spans="2:25" ht="12" x14ac:dyDescent="0.25">
      <c r="B77" s="931">
        <f t="shared" si="21"/>
        <v>18</v>
      </c>
      <c r="C77" s="1620">
        <f t="shared" si="22"/>
        <v>2034</v>
      </c>
      <c r="D77" s="932">
        <f>'VOC.1 '!I65</f>
        <v>25582984.728737205</v>
      </c>
      <c r="E77" s="1627">
        <f>-'VOC.1 '!L65</f>
        <v>-14174436.578602852</v>
      </c>
      <c r="F77" s="1627">
        <f t="shared" si="12"/>
        <v>-8325987.6122703077</v>
      </c>
      <c r="G77" s="1627">
        <f t="shared" si="13"/>
        <v>-4193704.3177975561</v>
      </c>
      <c r="I77" s="931">
        <f t="shared" si="23"/>
        <v>18</v>
      </c>
      <c r="J77" s="1620">
        <f t="shared" si="23"/>
        <v>2034</v>
      </c>
      <c r="K77" s="932">
        <f>VOC.2!G153</f>
        <v>-3213943.4269411573</v>
      </c>
      <c r="L77" s="932">
        <f>VOC.2!H153</f>
        <v>-642128.53827953199</v>
      </c>
      <c r="M77" s="1627">
        <f>-VOC.2!K153</f>
        <v>7979351.9207542511</v>
      </c>
      <c r="N77" s="1627">
        <f t="shared" si="14"/>
        <v>4687028.2905236753</v>
      </c>
      <c r="O77" s="1627">
        <f t="shared" si="15"/>
        <v>2360802.30898262</v>
      </c>
      <c r="Q77" s="931">
        <f t="shared" ref="Q77:R77" si="33">Q76+1</f>
        <v>18</v>
      </c>
      <c r="R77" s="1620">
        <f t="shared" si="33"/>
        <v>2034</v>
      </c>
      <c r="S77" s="1627">
        <f t="shared" si="16"/>
        <v>-14174436.578602852</v>
      </c>
      <c r="T77" s="1627">
        <f t="shared" si="17"/>
        <v>7979351.9207542511</v>
      </c>
      <c r="U77" s="1627">
        <f t="shared" si="18"/>
        <v>-6195084.6578486012</v>
      </c>
      <c r="V77" s="1627">
        <f t="shared" si="19"/>
        <v>-3638959.3217466325</v>
      </c>
      <c r="W77" s="1638">
        <f t="shared" si="20"/>
        <v>-1832902.0088149358</v>
      </c>
      <c r="Y77" s="1666"/>
    </row>
    <row r="78" spans="2:25" ht="12" x14ac:dyDescent="0.25">
      <c r="B78" s="931">
        <f t="shared" si="21"/>
        <v>19</v>
      </c>
      <c r="C78" s="1620">
        <f t="shared" si="22"/>
        <v>2035</v>
      </c>
      <c r="D78" s="932">
        <f>'VOC.1 '!I66</f>
        <v>26278643.785299968</v>
      </c>
      <c r="E78" s="1627">
        <f>-'VOC.1 '!L66</f>
        <v>-14523967.938668907</v>
      </c>
      <c r="F78" s="1627">
        <f t="shared" si="12"/>
        <v>-8282815.9692872753</v>
      </c>
      <c r="G78" s="1627">
        <f t="shared" si="13"/>
        <v>-4015998.1634242181</v>
      </c>
      <c r="I78" s="931">
        <f t="shared" si="23"/>
        <v>19</v>
      </c>
      <c r="J78" s="1620">
        <f t="shared" si="23"/>
        <v>2035</v>
      </c>
      <c r="K78" s="932">
        <f>VOC.2!G154</f>
        <v>-2725882.2121031173</v>
      </c>
      <c r="L78" s="932">
        <f>VOC.2!H154</f>
        <v>-707724.02471342776</v>
      </c>
      <c r="M78" s="1627">
        <f>-VOC.2!K154</f>
        <v>7141307.2201272743</v>
      </c>
      <c r="N78" s="1627">
        <f t="shared" si="14"/>
        <v>4072587.7208096962</v>
      </c>
      <c r="O78" s="1627">
        <f t="shared" si="15"/>
        <v>1974630.9549556647</v>
      </c>
      <c r="Q78" s="931">
        <f t="shared" ref="Q78:R78" si="34">Q77+1</f>
        <v>19</v>
      </c>
      <c r="R78" s="1620">
        <f t="shared" si="34"/>
        <v>2035</v>
      </c>
      <c r="S78" s="1627">
        <f t="shared" si="16"/>
        <v>-14523967.938668907</v>
      </c>
      <c r="T78" s="1627">
        <f t="shared" si="17"/>
        <v>7141307.2201272743</v>
      </c>
      <c r="U78" s="1627">
        <f t="shared" si="18"/>
        <v>-7382660.7185416324</v>
      </c>
      <c r="V78" s="1627">
        <f t="shared" si="19"/>
        <v>-4210228.2484775791</v>
      </c>
      <c r="W78" s="1638">
        <f t="shared" si="20"/>
        <v>-2041367.2084685531</v>
      </c>
      <c r="Y78" s="1666"/>
    </row>
    <row r="79" spans="2:25" ht="12" x14ac:dyDescent="0.25">
      <c r="B79" s="931">
        <f t="shared" si="21"/>
        <v>20</v>
      </c>
      <c r="C79" s="1620">
        <f t="shared" si="22"/>
        <v>2036</v>
      </c>
      <c r="D79" s="932">
        <f>'VOC.1 '!I67</f>
        <v>26987902.601430934</v>
      </c>
      <c r="E79" s="1627">
        <f>-'VOC.1 '!L67</f>
        <v>-14879509.571573572</v>
      </c>
      <c r="F79" s="1627">
        <f t="shared" si="12"/>
        <v>-8238423.6839637877</v>
      </c>
      <c r="G79" s="1627">
        <f t="shared" si="13"/>
        <v>-3845148.0258454573</v>
      </c>
      <c r="I79" s="931">
        <f t="shared" si="23"/>
        <v>20</v>
      </c>
      <c r="J79" s="1620">
        <f t="shared" si="23"/>
        <v>2036</v>
      </c>
      <c r="K79" s="932">
        <f>VOC.2!G155</f>
        <v>-3714765.8797990577</v>
      </c>
      <c r="L79" s="932">
        <f>VOC.2!H155</f>
        <v>-731452.76109342929</v>
      </c>
      <c r="M79" s="1627">
        <f>-VOC.2!K155</f>
        <v>9198159.1822581384</v>
      </c>
      <c r="N79" s="1627">
        <f t="shared" si="14"/>
        <v>5092797.7223627372</v>
      </c>
      <c r="O79" s="1627">
        <f t="shared" si="15"/>
        <v>2376979.1236023782</v>
      </c>
      <c r="Q79" s="931">
        <f t="shared" ref="Q79:R79" si="35">Q78+1</f>
        <v>20</v>
      </c>
      <c r="R79" s="1620">
        <f t="shared" si="35"/>
        <v>2036</v>
      </c>
      <c r="S79" s="1627">
        <f t="shared" si="16"/>
        <v>-14879509.571573572</v>
      </c>
      <c r="T79" s="1627">
        <f t="shared" si="17"/>
        <v>9198159.1822581384</v>
      </c>
      <c r="U79" s="1627">
        <f t="shared" si="18"/>
        <v>-5681350.3893154338</v>
      </c>
      <c r="V79" s="1627">
        <f t="shared" si="19"/>
        <v>-3145625.9616010506</v>
      </c>
      <c r="W79" s="1638">
        <f t="shared" si="20"/>
        <v>-1468168.9022430792</v>
      </c>
      <c r="Y79" s="1666"/>
    </row>
    <row r="80" spans="2:25" ht="12" x14ac:dyDescent="0.25">
      <c r="B80" s="931">
        <f t="shared" si="21"/>
        <v>21</v>
      </c>
      <c r="C80" s="1620">
        <f t="shared" si="22"/>
        <v>2037</v>
      </c>
      <c r="D80" s="932">
        <f>'VOC.1 '!I68</f>
        <v>27711023.021494392</v>
      </c>
      <c r="E80" s="1627">
        <f>-'VOC.1 '!L68</f>
        <v>-15241175.032674598</v>
      </c>
      <c r="F80" s="1627">
        <f t="shared" si="12"/>
        <v>-8192882.6028175214</v>
      </c>
      <c r="G80" s="1627">
        <f t="shared" si="13"/>
        <v>-3680943.2277153288</v>
      </c>
      <c r="I80" s="931">
        <f t="shared" si="23"/>
        <v>21</v>
      </c>
      <c r="J80" s="1620">
        <f t="shared" si="23"/>
        <v>2037</v>
      </c>
      <c r="K80" s="932">
        <f>VOC.2!G156</f>
        <v>-4238982.6218733955</v>
      </c>
      <c r="L80" s="932">
        <f>VOC.2!H156</f>
        <v>-852362.70138632506</v>
      </c>
      <c r="M80" s="1627">
        <f>-VOC.2!K156</f>
        <v>10536702.758169694</v>
      </c>
      <c r="N80" s="1627">
        <f t="shared" si="14"/>
        <v>5663996.938123147</v>
      </c>
      <c r="O80" s="1627">
        <f t="shared" si="15"/>
        <v>2544751.6072078058</v>
      </c>
      <c r="Q80" s="931">
        <f t="shared" ref="Q80:R80" si="36">Q79+1</f>
        <v>21</v>
      </c>
      <c r="R80" s="1620">
        <f t="shared" si="36"/>
        <v>2037</v>
      </c>
      <c r="S80" s="1627">
        <f t="shared" si="16"/>
        <v>-15241175.032674598</v>
      </c>
      <c r="T80" s="1627">
        <f t="shared" si="17"/>
        <v>10536702.758169694</v>
      </c>
      <c r="U80" s="1627">
        <f t="shared" si="18"/>
        <v>-4704472.2745049037</v>
      </c>
      <c r="V80" s="1627">
        <f t="shared" si="19"/>
        <v>-2528885.6646943744</v>
      </c>
      <c r="W80" s="1638">
        <f t="shared" si="20"/>
        <v>-1136191.6205075232</v>
      </c>
      <c r="Y80" s="1666"/>
    </row>
    <row r="81" spans="2:25" ht="12" x14ac:dyDescent="0.25">
      <c r="B81" s="931">
        <f t="shared" si="21"/>
        <v>22</v>
      </c>
      <c r="C81" s="1620">
        <f t="shared" si="22"/>
        <v>2038</v>
      </c>
      <c r="D81" s="932">
        <f>'VOC.1 '!I69</f>
        <v>28448272.294764698</v>
      </c>
      <c r="E81" s="1627">
        <f>-'VOC.1 '!L69</f>
        <v>-15609080.24483707</v>
      </c>
      <c r="F81" s="1627">
        <f t="shared" si="12"/>
        <v>-8146261.9254549788</v>
      </c>
      <c r="G81" s="1627">
        <f t="shared" si="13"/>
        <v>-3523174.9076010594</v>
      </c>
      <c r="I81" s="931">
        <f t="shared" si="23"/>
        <v>22</v>
      </c>
      <c r="J81" s="1620">
        <f t="shared" si="23"/>
        <v>2038</v>
      </c>
      <c r="K81" s="932">
        <f>VOC.2!G157</f>
        <v>-5728456.6604152136</v>
      </c>
      <c r="L81" s="932">
        <f>VOC.2!H157</f>
        <v>-761071.40659940429</v>
      </c>
      <c r="M81" s="1627">
        <f>-VOC.2!K157</f>
        <v>13343739.329860043</v>
      </c>
      <c r="N81" s="1627">
        <f t="shared" si="14"/>
        <v>6963997.4899859736</v>
      </c>
      <c r="O81" s="1627">
        <f t="shared" si="15"/>
        <v>3011857.6394712487</v>
      </c>
      <c r="Q81" s="931">
        <f t="shared" ref="Q81:R81" si="37">Q80+1</f>
        <v>22</v>
      </c>
      <c r="R81" s="1620">
        <f t="shared" si="37"/>
        <v>2038</v>
      </c>
      <c r="S81" s="1627">
        <f t="shared" si="16"/>
        <v>-15609080.24483707</v>
      </c>
      <c r="T81" s="1627">
        <f t="shared" si="17"/>
        <v>13343739.329860043</v>
      </c>
      <c r="U81" s="1627">
        <f t="shared" si="18"/>
        <v>-2265340.9149770271</v>
      </c>
      <c r="V81" s="1627">
        <f t="shared" si="19"/>
        <v>-1182264.4354690053</v>
      </c>
      <c r="W81" s="1638">
        <f t="shared" si="20"/>
        <v>-511317.26812981069</v>
      </c>
      <c r="Y81" s="1666"/>
    </row>
    <row r="82" spans="2:25" ht="12" x14ac:dyDescent="0.25">
      <c r="B82" s="931">
        <f t="shared" si="21"/>
        <v>23</v>
      </c>
      <c r="C82" s="1620">
        <f t="shared" si="22"/>
        <v>2039</v>
      </c>
      <c r="D82" s="932">
        <f>'VOC.1 '!I70</f>
        <v>29199923.195779163</v>
      </c>
      <c r="E82" s="1627">
        <f>-'VOC.1 '!L70</f>
        <v>-15983343.551757885</v>
      </c>
      <c r="F82" s="1627">
        <f t="shared" si="12"/>
        <v>-8098628.2899926882</v>
      </c>
      <c r="G82" s="1627">
        <f t="shared" si="13"/>
        <v>-3371636.5076791188</v>
      </c>
      <c r="I82" s="931">
        <f t="shared" si="23"/>
        <v>23</v>
      </c>
      <c r="J82" s="1620">
        <f t="shared" si="23"/>
        <v>2039</v>
      </c>
      <c r="K82" s="932">
        <f>VOC.2!G158</f>
        <v>-6752363.0564690484</v>
      </c>
      <c r="L82" s="932">
        <f>VOC.2!H158</f>
        <v>-881455.25770960096</v>
      </c>
      <c r="M82" s="1627">
        <f>-VOC.2!K158</f>
        <v>15692949.184762519</v>
      </c>
      <c r="N82" s="1627">
        <f t="shared" si="14"/>
        <v>7951487.8604456717</v>
      </c>
      <c r="O82" s="1627">
        <f t="shared" si="15"/>
        <v>3310378.7210204406</v>
      </c>
      <c r="Q82" s="931">
        <f t="shared" ref="Q82:R82" si="38">Q81+1</f>
        <v>23</v>
      </c>
      <c r="R82" s="1620">
        <f t="shared" si="38"/>
        <v>2039</v>
      </c>
      <c r="S82" s="1627">
        <f t="shared" si="16"/>
        <v>-15983343.551757885</v>
      </c>
      <c r="T82" s="1627">
        <f t="shared" si="17"/>
        <v>15692949.184762519</v>
      </c>
      <c r="U82" s="1627">
        <f t="shared" si="18"/>
        <v>-290394.36699536629</v>
      </c>
      <c r="V82" s="1627">
        <f t="shared" si="19"/>
        <v>-147140.42954701657</v>
      </c>
      <c r="W82" s="1638">
        <f t="shared" si="20"/>
        <v>-61257.786658678247</v>
      </c>
      <c r="X82" s="1666"/>
      <c r="Y82" s="1666"/>
    </row>
    <row r="83" spans="2:25" ht="12" x14ac:dyDescent="0.25">
      <c r="B83" s="931">
        <f t="shared" si="21"/>
        <v>24</v>
      </c>
      <c r="C83" s="1620">
        <f t="shared" si="22"/>
        <v>2040</v>
      </c>
      <c r="D83" s="932">
        <f>'VOC.1 '!I71</f>
        <v>29966254.147506326</v>
      </c>
      <c r="E83" s="1627">
        <f>-'VOC.1 '!L71</f>
        <v>-16364085.772547178</v>
      </c>
      <c r="F83" s="1627">
        <f t="shared" si="12"/>
        <v>-8050045.8558693407</v>
      </c>
      <c r="G83" s="1627">
        <f t="shared" si="13"/>
        <v>-3226124.1986098643</v>
      </c>
      <c r="I83" s="931">
        <f t="shared" si="23"/>
        <v>24</v>
      </c>
      <c r="J83" s="1620">
        <f t="shared" si="23"/>
        <v>2040</v>
      </c>
      <c r="K83" s="932">
        <f>VOC.2!G159</f>
        <v>-6755151.5537237003</v>
      </c>
      <c r="L83" s="932">
        <f>VOC.2!H159</f>
        <v>-1007261.5778098898</v>
      </c>
      <c r="M83" s="1627">
        <f>-VOC.2!K159</f>
        <v>15986818.17105295</v>
      </c>
      <c r="N83" s="1627">
        <f t="shared" si="14"/>
        <v>7864455.1950664399</v>
      </c>
      <c r="O83" s="1627">
        <f t="shared" si="15"/>
        <v>3151747.1661590873</v>
      </c>
      <c r="Q83" s="931">
        <f t="shared" ref="Q83:R83" si="39">Q82+1</f>
        <v>24</v>
      </c>
      <c r="R83" s="1620">
        <f t="shared" si="39"/>
        <v>2040</v>
      </c>
      <c r="S83" s="1627">
        <f t="shared" si="16"/>
        <v>-16364085.772547178</v>
      </c>
      <c r="T83" s="1627">
        <f t="shared" si="17"/>
        <v>15986818.17105295</v>
      </c>
      <c r="U83" s="1627">
        <f t="shared" si="18"/>
        <v>-377267.60149422847</v>
      </c>
      <c r="V83" s="1627">
        <f t="shared" si="19"/>
        <v>-185590.66080290091</v>
      </c>
      <c r="W83" s="1638">
        <f t="shared" si="20"/>
        <v>-74377.03245077662</v>
      </c>
      <c r="X83" s="1666"/>
      <c r="Y83" s="1666">
        <f>E87</f>
        <v>-292680671.8372249</v>
      </c>
    </row>
    <row r="84" spans="2:25" ht="12" x14ac:dyDescent="0.25">
      <c r="B84" s="931">
        <f t="shared" si="21"/>
        <v>25</v>
      </c>
      <c r="C84" s="1620">
        <f t="shared" si="22"/>
        <v>2041</v>
      </c>
      <c r="D84" s="932">
        <f>'VOC.1 '!I72</f>
        <v>30747549.347401917</v>
      </c>
      <c r="E84" s="1627">
        <f>-'VOC.1 '!L72</f>
        <v>-16751430.257598218</v>
      </c>
      <c r="F84" s="1627">
        <f t="shared" si="12"/>
        <v>-8000576.3841271866</v>
      </c>
      <c r="G84" s="1627">
        <f t="shared" si="13"/>
        <v>-3086437.2472836296</v>
      </c>
      <c r="I84" s="931">
        <f t="shared" ref="I84:J86" si="40">I83+1</f>
        <v>25</v>
      </c>
      <c r="J84" s="1620">
        <f t="shared" si="40"/>
        <v>2041</v>
      </c>
      <c r="K84" s="932">
        <f>VOC.2!G160</f>
        <v>-7867171.9115032367</v>
      </c>
      <c r="L84" s="932">
        <f>VOC.2!H160</f>
        <v>-1071735.3665996892</v>
      </c>
      <c r="M84" s="1627">
        <f>-VOC.2!K160</f>
        <v>18386368.845673941</v>
      </c>
      <c r="N84" s="1627">
        <f t="shared" si="14"/>
        <v>8781432.1591929477</v>
      </c>
      <c r="O84" s="1627">
        <f t="shared" si="15"/>
        <v>3387673.3374359533</v>
      </c>
      <c r="Q84" s="931">
        <f t="shared" ref="Q84:R84" si="41">Q83+1</f>
        <v>25</v>
      </c>
      <c r="R84" s="1620">
        <f t="shared" si="41"/>
        <v>2041</v>
      </c>
      <c r="S84" s="1627">
        <f t="shared" si="16"/>
        <v>-16751430.257598218</v>
      </c>
      <c r="T84" s="1627">
        <f t="shared" si="17"/>
        <v>18386368.845673941</v>
      </c>
      <c r="U84" s="1627">
        <f t="shared" si="18"/>
        <v>1634938.5880757235</v>
      </c>
      <c r="V84" s="1627">
        <f t="shared" si="19"/>
        <v>780855.77506576001</v>
      </c>
      <c r="W84" s="1638">
        <f t="shared" si="20"/>
        <v>301236.09015232371</v>
      </c>
      <c r="X84" s="1666"/>
      <c r="Y84" s="1666">
        <f>M87</f>
        <v>143041688.46994206</v>
      </c>
    </row>
    <row r="85" spans="2:25" ht="12" x14ac:dyDescent="0.25">
      <c r="B85" s="931">
        <f t="shared" si="21"/>
        <v>26</v>
      </c>
      <c r="C85" s="1620">
        <f t="shared" si="22"/>
        <v>2042</v>
      </c>
      <c r="D85" s="932">
        <f>'VOC.1 '!I73</f>
        <v>31544098.896416347</v>
      </c>
      <c r="E85" s="1627">
        <f>-'VOC.1 '!L73</f>
        <v>-17145502.945775501</v>
      </c>
      <c r="F85" s="1627">
        <f t="shared" si="12"/>
        <v>-7950279.3152374467</v>
      </c>
      <c r="G85" s="1627">
        <f t="shared" si="13"/>
        <v>-2952378.3326768898</v>
      </c>
      <c r="I85" s="931">
        <f t="shared" si="40"/>
        <v>26</v>
      </c>
      <c r="J85" s="1620">
        <f t="shared" si="40"/>
        <v>2042</v>
      </c>
      <c r="K85" s="932">
        <f>VOC.2!G161</f>
        <v>-9419610.268442044</v>
      </c>
      <c r="L85" s="932">
        <f>VOC.2!H161</f>
        <v>-1024688.7886044178</v>
      </c>
      <c r="M85" s="1627">
        <f>-VOC.2!K161</f>
        <v>21422272.808287859</v>
      </c>
      <c r="N85" s="1627">
        <f t="shared" si="14"/>
        <v>9933394.950952325</v>
      </c>
      <c r="O85" s="1627">
        <f t="shared" si="15"/>
        <v>3688818.827648669</v>
      </c>
      <c r="Q85" s="931">
        <f t="shared" ref="Q85:R85" si="42">Q84+1</f>
        <v>26</v>
      </c>
      <c r="R85" s="1620">
        <f t="shared" si="42"/>
        <v>2042</v>
      </c>
      <c r="S85" s="1627">
        <f t="shared" si="16"/>
        <v>-17145502.945775501</v>
      </c>
      <c r="T85" s="1627">
        <f t="shared" si="17"/>
        <v>21422272.808287859</v>
      </c>
      <c r="U85" s="1627">
        <f t="shared" si="18"/>
        <v>4276769.8625123575</v>
      </c>
      <c r="V85" s="1627">
        <f t="shared" si="19"/>
        <v>1983115.6357148779</v>
      </c>
      <c r="W85" s="1638">
        <f t="shared" si="20"/>
        <v>736440.49497177906</v>
      </c>
      <c r="X85" s="1666"/>
      <c r="Y85" s="1666">
        <f>U87</f>
        <v>-149638983.36728278</v>
      </c>
    </row>
    <row r="86" spans="2:25" ht="12" x14ac:dyDescent="0.25">
      <c r="B86" s="931">
        <f t="shared" si="21"/>
        <v>27</v>
      </c>
      <c r="C86" s="1620">
        <f t="shared" si="22"/>
        <v>2043</v>
      </c>
      <c r="D86" s="932">
        <f>'VOC.1 '!I74</f>
        <v>32356198.931026712</v>
      </c>
      <c r="E86" s="1627">
        <f>-'VOC.1 '!L74</f>
        <v>-17546432.422953561</v>
      </c>
      <c r="F86" s="1627">
        <f t="shared" si="12"/>
        <v>-7899211.8445432913</v>
      </c>
      <c r="G86" s="1627">
        <f t="shared" si="13"/>
        <v>-2823753.814637742</v>
      </c>
      <c r="I86" s="931">
        <f t="shared" si="40"/>
        <v>27</v>
      </c>
      <c r="J86" s="1620">
        <f t="shared" si="40"/>
        <v>2043</v>
      </c>
      <c r="K86" s="932">
        <f>VOC.2!G162</f>
        <v>-9438987.1173836291</v>
      </c>
      <c r="L86" s="932">
        <f>VOC.2!H162</f>
        <v>-1145545.04923495</v>
      </c>
      <c r="M86" s="1627">
        <f>-VOC.2!K162</f>
        <v>21738392.620499115</v>
      </c>
      <c r="N86" s="1627">
        <f t="shared" si="14"/>
        <v>9786386.4476830438</v>
      </c>
      <c r="O86" s="1627">
        <f t="shared" si="15"/>
        <v>3498367.5089374478</v>
      </c>
      <c r="Q86" s="931">
        <f t="shared" ref="Q86:R86" si="43">Q85+1</f>
        <v>27</v>
      </c>
      <c r="R86" s="1620">
        <f t="shared" si="43"/>
        <v>2043</v>
      </c>
      <c r="S86" s="1627">
        <f t="shared" si="16"/>
        <v>-17546432.422953561</v>
      </c>
      <c r="T86" s="1627">
        <f t="shared" si="17"/>
        <v>21738392.620499115</v>
      </c>
      <c r="U86" s="1627">
        <f t="shared" si="18"/>
        <v>4191960.1975455545</v>
      </c>
      <c r="V86" s="1627">
        <f t="shared" si="19"/>
        <v>1887174.6031397528</v>
      </c>
      <c r="W86" s="1638">
        <f t="shared" si="20"/>
        <v>674613.69429970591</v>
      </c>
      <c r="X86" s="1666"/>
      <c r="Y86" s="1666">
        <f>V87</f>
        <v>-105603959.02263591</v>
      </c>
    </row>
    <row r="87" spans="2:25" ht="12.75" thickBot="1" x14ac:dyDescent="0.3">
      <c r="B87" s="917" t="s">
        <v>314</v>
      </c>
      <c r="C87" s="1460"/>
      <c r="D87" s="933">
        <f>SUM(D66:D86)</f>
        <v>527964929.39884388</v>
      </c>
      <c r="E87" s="1637">
        <f>SUM(E66:E86)</f>
        <v>-292680671.8372249</v>
      </c>
      <c r="F87" s="1634">
        <f>SUM(F66:F86)</f>
        <v>-175190596.49779978</v>
      </c>
      <c r="G87" s="1629">
        <f>SUM(G66:G86)</f>
        <v>-94750388.975712046</v>
      </c>
      <c r="I87" s="917" t="s">
        <v>314</v>
      </c>
      <c r="J87" s="1460"/>
      <c r="K87" s="933">
        <f>SUM(K66:K86)</f>
        <v>-55452304.517845184</v>
      </c>
      <c r="L87" s="933">
        <f t="shared" ref="L87:M87" si="44">SUM(L66:L86)</f>
        <v>-13422423.317898557</v>
      </c>
      <c r="M87" s="1637">
        <f t="shared" si="44"/>
        <v>143041688.46994206</v>
      </c>
      <c r="N87" s="1634">
        <f>SUM(N66:N86)</f>
        <v>69586637.475163847</v>
      </c>
      <c r="O87" s="1629">
        <f>SUM(O66:O86)</f>
        <v>26621188.85660319</v>
      </c>
      <c r="Q87" s="917" t="s">
        <v>314</v>
      </c>
      <c r="R87" s="1460"/>
      <c r="S87" s="1637">
        <f>SUM(S66:S86)</f>
        <v>-292680671.8372249</v>
      </c>
      <c r="T87" s="1637">
        <f t="shared" ref="T87" si="45">SUM(T66:T86)</f>
        <v>143041688.46994206</v>
      </c>
      <c r="U87" s="1637">
        <f t="shared" ref="U87" si="46">SUM(U66:U86)</f>
        <v>-149638983.36728278</v>
      </c>
      <c r="V87" s="1634">
        <f>SUM(V66:V86)</f>
        <v>-105603959.02263591</v>
      </c>
      <c r="W87" s="1629">
        <f>SUM(W66:W86)</f>
        <v>-68129200.119108871</v>
      </c>
      <c r="X87" s="1666"/>
      <c r="Y87" s="1666">
        <f>W87</f>
        <v>-68129200.119108871</v>
      </c>
    </row>
    <row r="88" spans="2:25" ht="12" x14ac:dyDescent="0.25">
      <c r="B88" s="927" t="s">
        <v>338</v>
      </c>
      <c r="H88" s="903"/>
      <c r="I88" s="903"/>
      <c r="J88" s="903"/>
      <c r="K88" s="903"/>
      <c r="L88" s="1662">
        <f>K87+L87</f>
        <v>-68874727.83574374</v>
      </c>
      <c r="M88" s="903"/>
    </row>
    <row r="89" spans="2:25" ht="12" x14ac:dyDescent="0.25">
      <c r="D89" s="925"/>
      <c r="E89" s="925"/>
      <c r="F89" s="925"/>
    </row>
    <row r="90" spans="2:25" ht="16.5" thickBot="1" x14ac:dyDescent="0.3">
      <c r="B90" s="945" t="s">
        <v>705</v>
      </c>
      <c r="C90" s="919"/>
      <c r="D90" s="919"/>
      <c r="E90" s="919"/>
      <c r="F90" s="919"/>
      <c r="G90" s="902"/>
      <c r="H90" s="902"/>
      <c r="I90" s="902"/>
      <c r="J90" s="919"/>
      <c r="K90" s="919"/>
      <c r="L90" s="919"/>
      <c r="M90" s="919"/>
    </row>
    <row r="91" spans="2:25" ht="12" x14ac:dyDescent="0.25">
      <c r="B91" s="907" t="s">
        <v>182</v>
      </c>
      <c r="C91" s="928" t="s">
        <v>180</v>
      </c>
      <c r="D91" s="928" t="s">
        <v>178</v>
      </c>
      <c r="E91" s="928" t="s">
        <v>268</v>
      </c>
      <c r="F91" s="908" t="s">
        <v>269</v>
      </c>
      <c r="G91" s="934"/>
      <c r="H91" s="911"/>
      <c r="I91" s="911"/>
      <c r="J91" s="911"/>
      <c r="K91" s="911"/>
      <c r="L91" s="911"/>
      <c r="M91" s="911"/>
      <c r="N91" s="911"/>
      <c r="O91" s="911"/>
      <c r="P91" s="911"/>
      <c r="Q91" s="911"/>
      <c r="R91" s="911"/>
      <c r="S91" s="905"/>
      <c r="T91" s="905"/>
      <c r="U91" s="905"/>
      <c r="V91" s="905"/>
      <c r="W91" s="905"/>
    </row>
    <row r="92" spans="2:25" ht="24.9" customHeight="1" x14ac:dyDescent="0.3">
      <c r="B92" s="1782" t="s">
        <v>7</v>
      </c>
      <c r="C92" s="1783" t="s">
        <v>275</v>
      </c>
      <c r="D92" s="1784" t="s">
        <v>601</v>
      </c>
      <c r="E92" s="1785" t="s">
        <v>361</v>
      </c>
      <c r="F92" s="1786"/>
      <c r="G92" s="911"/>
      <c r="H92" s="1788" t="s">
        <v>7</v>
      </c>
      <c r="I92" s="1788" t="s">
        <v>275</v>
      </c>
      <c r="J92" s="1789" t="s">
        <v>601</v>
      </c>
      <c r="K92" s="1789" t="s">
        <v>361</v>
      </c>
      <c r="L92" s="1789"/>
      <c r="M92" s="1789" t="s">
        <v>962</v>
      </c>
      <c r="N92" s="1789" t="s">
        <v>363</v>
      </c>
      <c r="O92" s="1789"/>
      <c r="P92" s="1789" t="s">
        <v>336</v>
      </c>
      <c r="Q92" s="1603" t="s">
        <v>5</v>
      </c>
      <c r="R92" s="1603" t="s">
        <v>5</v>
      </c>
      <c r="S92" s="905"/>
      <c r="T92" s="905"/>
      <c r="U92" s="905"/>
      <c r="V92" s="905"/>
      <c r="W92" s="905"/>
      <c r="X92" s="1787"/>
      <c r="Y92" s="1787"/>
    </row>
    <row r="93" spans="2:25" ht="24" customHeight="1" x14ac:dyDescent="0.3">
      <c r="B93" s="1782"/>
      <c r="C93" s="1783"/>
      <c r="D93" s="1784"/>
      <c r="E93" s="1621">
        <f>3/100</f>
        <v>0.03</v>
      </c>
      <c r="F93" s="921">
        <f>7/100</f>
        <v>7.0000000000000007E-2</v>
      </c>
      <c r="G93" s="913"/>
      <c r="H93" s="1788"/>
      <c r="I93" s="1788"/>
      <c r="J93" s="1789"/>
      <c r="K93" s="1601">
        <f>3/100</f>
        <v>0.03</v>
      </c>
      <c r="L93" s="1601">
        <f>7/100</f>
        <v>7.0000000000000007E-2</v>
      </c>
      <c r="M93" s="1789"/>
      <c r="N93" s="1602">
        <f>3/100</f>
        <v>0.03</v>
      </c>
      <c r="O93" s="1602">
        <f>7/100</f>
        <v>7.0000000000000007E-2</v>
      </c>
      <c r="P93" s="1789"/>
      <c r="Q93" s="1601">
        <f>3/100</f>
        <v>0.03</v>
      </c>
      <c r="R93" s="1601">
        <f>7/100</f>
        <v>7.0000000000000007E-2</v>
      </c>
      <c r="S93" s="905"/>
      <c r="T93" s="905"/>
      <c r="U93" s="905"/>
      <c r="V93" s="905"/>
      <c r="W93" s="905"/>
      <c r="X93" s="913"/>
      <c r="Y93" s="913"/>
    </row>
    <row r="94" spans="2:25" ht="24" x14ac:dyDescent="0.3">
      <c r="B94" s="1782"/>
      <c r="C94" s="1783"/>
      <c r="D94" s="1784"/>
      <c r="E94" s="1622" t="s">
        <v>377</v>
      </c>
      <c r="F94" s="1616" t="s">
        <v>378</v>
      </c>
      <c r="G94" s="903"/>
      <c r="H94" s="1788"/>
      <c r="I94" s="1788"/>
      <c r="J94" s="1789"/>
      <c r="K94" s="1603" t="s">
        <v>377</v>
      </c>
      <c r="L94" s="1603" t="s">
        <v>378</v>
      </c>
      <c r="M94" s="1789"/>
      <c r="N94" s="1603" t="s">
        <v>514</v>
      </c>
      <c r="O94" s="1603" t="s">
        <v>515</v>
      </c>
      <c r="P94" s="1789"/>
      <c r="Q94" s="1603" t="s">
        <v>377</v>
      </c>
      <c r="R94" s="1603" t="s">
        <v>378</v>
      </c>
      <c r="S94" s="905"/>
      <c r="T94" s="905"/>
      <c r="U94" s="905"/>
      <c r="V94" s="905"/>
      <c r="W94" s="905"/>
      <c r="X94" s="913"/>
      <c r="Y94" s="913"/>
    </row>
    <row r="95" spans="2:25" ht="12" x14ac:dyDescent="0.25">
      <c r="B95" s="931">
        <v>7</v>
      </c>
      <c r="C95" s="1620">
        <v>2023</v>
      </c>
      <c r="D95" s="1627">
        <f>-Emission.Costs!I364</f>
        <v>-1186968.8864269305</v>
      </c>
      <c r="E95" s="1627">
        <f>D95/(1+$E$93)^B95</f>
        <v>-965114.32578241057</v>
      </c>
      <c r="F95" s="1627">
        <f>D95/(1+$F$93)^B95</f>
        <v>-739184.56764741149</v>
      </c>
      <c r="H95" s="1604">
        <v>7</v>
      </c>
      <c r="I95" s="1605">
        <v>2023</v>
      </c>
      <c r="J95" s="1606">
        <f>D95</f>
        <v>-1186968.8864269305</v>
      </c>
      <c r="K95" s="1607">
        <f>J95/(1+$E$93)^H95</f>
        <v>-965114.32578241057</v>
      </c>
      <c r="L95" s="1608" t="s">
        <v>506</v>
      </c>
      <c r="M95" s="1609">
        <f>H124</f>
        <v>1487150.96123298</v>
      </c>
      <c r="N95" s="1609">
        <f t="shared" ref="N95:O95" si="47">I124</f>
        <v>1209189.822664645</v>
      </c>
      <c r="O95" s="1609">
        <f t="shared" si="47"/>
        <v>926122.87725125987</v>
      </c>
      <c r="P95" s="1614">
        <f>J95+M95</f>
        <v>300182.07480604947</v>
      </c>
      <c r="Q95" s="1614">
        <f>K95+N95</f>
        <v>244075.49688223447</v>
      </c>
      <c r="R95" s="1614">
        <f>K95+O95</f>
        <v>-38991.448531150701</v>
      </c>
      <c r="S95" s="905"/>
      <c r="T95" s="905"/>
      <c r="U95" s="905"/>
      <c r="V95" s="905"/>
      <c r="W95" s="905"/>
      <c r="X95" s="903"/>
      <c r="Y95" s="903"/>
    </row>
    <row r="96" spans="2:25" ht="12" customHeight="1" x14ac:dyDescent="0.25">
      <c r="B96" s="931">
        <f>B95+1</f>
        <v>8</v>
      </c>
      <c r="C96" s="1620">
        <f>C95+1</f>
        <v>2024</v>
      </c>
      <c r="D96" s="1627">
        <f>-Emission.Costs!I365</f>
        <v>-1202096.4345781975</v>
      </c>
      <c r="E96" s="1627">
        <f t="shared" ref="E96:E115" si="48">D96/(1+$F$35)^B96</f>
        <v>-948946.02599188709</v>
      </c>
      <c r="F96" s="1627">
        <f t="shared" ref="F96:F115" si="49">D96/(1+$F$93)^B96</f>
        <v>-699631.06948968209</v>
      </c>
      <c r="H96" s="1604">
        <f>H95+1</f>
        <v>8</v>
      </c>
      <c r="I96" s="1605">
        <f>I95+1</f>
        <v>2024</v>
      </c>
      <c r="J96" s="1606">
        <f t="shared" ref="J96:J115" si="50">D96</f>
        <v>-1202096.4345781975</v>
      </c>
      <c r="K96" s="1607">
        <f t="shared" ref="K96:K115" si="51">J96/(1+$F$35)^H96</f>
        <v>-948946.02599188709</v>
      </c>
      <c r="L96" s="1608" t="s">
        <v>506</v>
      </c>
      <c r="M96" s="1609">
        <f t="shared" ref="M96:M115" si="52">H125</f>
        <v>1943128.3137705354</v>
      </c>
      <c r="N96" s="1609">
        <f t="shared" ref="N96:N115" si="53">I125</f>
        <v>1533923.4343473276</v>
      </c>
      <c r="O96" s="1609">
        <f t="shared" ref="O96:O115" si="54">J125</f>
        <v>1130918.3699525623</v>
      </c>
      <c r="P96" s="1614">
        <f t="shared" ref="P96:P115" si="55">J96+M96</f>
        <v>741031.87919233786</v>
      </c>
      <c r="Q96" s="1614">
        <f t="shared" ref="Q96:Q115" si="56">K96+N96</f>
        <v>584977.40835544048</v>
      </c>
      <c r="R96" s="1614">
        <f t="shared" ref="R96:R115" si="57">K96+O96</f>
        <v>181972.34396067518</v>
      </c>
      <c r="S96" s="905"/>
      <c r="T96" s="905"/>
      <c r="U96" s="905"/>
      <c r="V96" s="905"/>
      <c r="W96" s="905"/>
    </row>
    <row r="97" spans="2:23" ht="12" x14ac:dyDescent="0.25">
      <c r="B97" s="931">
        <f t="shared" ref="B97:B115" si="58">B96+1</f>
        <v>9</v>
      </c>
      <c r="C97" s="1620">
        <f t="shared" ref="C97:C115" si="59">C96+1</f>
        <v>2025</v>
      </c>
      <c r="D97" s="1627">
        <f>-Emission.Costs!I366</f>
        <v>-823573.72330546938</v>
      </c>
      <c r="E97" s="1627">
        <f t="shared" si="48"/>
        <v>-631200.68185985216</v>
      </c>
      <c r="F97" s="1627">
        <f t="shared" si="49"/>
        <v>-447969.53761150554</v>
      </c>
      <c r="H97" s="1604">
        <f t="shared" ref="H97:I112" si="60">H96+1</f>
        <v>9</v>
      </c>
      <c r="I97" s="1605">
        <f t="shared" si="60"/>
        <v>2025</v>
      </c>
      <c r="J97" s="1606">
        <f t="shared" si="50"/>
        <v>-823573.72330546938</v>
      </c>
      <c r="K97" s="1607">
        <f t="shared" si="51"/>
        <v>-631200.68185985216</v>
      </c>
      <c r="L97" s="1608" t="s">
        <v>506</v>
      </c>
      <c r="M97" s="1609">
        <f t="shared" si="52"/>
        <v>-115155.51938076899</v>
      </c>
      <c r="N97" s="1609">
        <f t="shared" si="53"/>
        <v>-88257.116875142179</v>
      </c>
      <c r="O97" s="1609">
        <f t="shared" si="54"/>
        <v>-62636.972636003069</v>
      </c>
      <c r="P97" s="1614">
        <f t="shared" si="55"/>
        <v>-938729.24268623837</v>
      </c>
      <c r="Q97" s="1614">
        <f t="shared" si="56"/>
        <v>-719457.79873499437</v>
      </c>
      <c r="R97" s="1614">
        <f t="shared" si="57"/>
        <v>-693837.65449585521</v>
      </c>
      <c r="S97" s="905"/>
      <c r="T97" s="905"/>
      <c r="U97" s="905"/>
      <c r="V97" s="905"/>
      <c r="W97" s="905"/>
    </row>
    <row r="98" spans="2:23" ht="12" x14ac:dyDescent="0.25">
      <c r="B98" s="931">
        <f t="shared" si="58"/>
        <v>10</v>
      </c>
      <c r="C98" s="1620">
        <f t="shared" si="59"/>
        <v>2026</v>
      </c>
      <c r="D98" s="1627">
        <f>-Emission.Costs!I367</f>
        <v>-927750.5598762749</v>
      </c>
      <c r="E98" s="1627">
        <f t="shared" si="48"/>
        <v>-690333.54614596604</v>
      </c>
      <c r="F98" s="1627">
        <f t="shared" si="49"/>
        <v>-471621.34039069247</v>
      </c>
      <c r="H98" s="1604">
        <f t="shared" si="60"/>
        <v>10</v>
      </c>
      <c r="I98" s="1605">
        <f t="shared" si="60"/>
        <v>2026</v>
      </c>
      <c r="J98" s="1606">
        <f t="shared" si="50"/>
        <v>-927750.5598762749</v>
      </c>
      <c r="K98" s="1607">
        <f t="shared" si="51"/>
        <v>-690333.54614596604</v>
      </c>
      <c r="L98" s="1608" t="s">
        <v>506</v>
      </c>
      <c r="M98" s="1609">
        <f t="shared" si="52"/>
        <v>-124263.29972123432</v>
      </c>
      <c r="N98" s="1609">
        <f t="shared" si="53"/>
        <v>-92463.565167558379</v>
      </c>
      <c r="O98" s="1609">
        <f t="shared" si="54"/>
        <v>-63169.160451613738</v>
      </c>
      <c r="P98" s="1614">
        <f t="shared" si="55"/>
        <v>-1052013.8595975093</v>
      </c>
      <c r="Q98" s="1614">
        <f t="shared" si="56"/>
        <v>-782797.11131352442</v>
      </c>
      <c r="R98" s="1614">
        <f t="shared" si="57"/>
        <v>-753502.70659757976</v>
      </c>
      <c r="S98" s="905"/>
      <c r="T98" s="905"/>
      <c r="U98" s="905"/>
      <c r="V98" s="905"/>
      <c r="W98" s="905"/>
    </row>
    <row r="99" spans="2:23" ht="12" x14ac:dyDescent="0.25">
      <c r="B99" s="931">
        <f t="shared" si="58"/>
        <v>11</v>
      </c>
      <c r="C99" s="1620">
        <f t="shared" si="59"/>
        <v>2027</v>
      </c>
      <c r="D99" s="1627">
        <f>-Emission.Costs!I368</f>
        <v>-1037432.3554951858</v>
      </c>
      <c r="E99" s="1627">
        <f t="shared" si="48"/>
        <v>-749463.20664169313</v>
      </c>
      <c r="F99" s="1627">
        <f t="shared" si="49"/>
        <v>-492876.63883516873</v>
      </c>
      <c r="H99" s="1604">
        <f t="shared" si="60"/>
        <v>11</v>
      </c>
      <c r="I99" s="1605">
        <f t="shared" si="60"/>
        <v>2027</v>
      </c>
      <c r="J99" s="1606">
        <f t="shared" si="50"/>
        <v>-1037432.3554951858</v>
      </c>
      <c r="K99" s="1607">
        <f t="shared" si="51"/>
        <v>-749463.20664169313</v>
      </c>
      <c r="L99" s="1608" t="s">
        <v>506</v>
      </c>
      <c r="M99" s="1609">
        <f t="shared" si="52"/>
        <v>-136825.56292157978</v>
      </c>
      <c r="N99" s="1609">
        <f t="shared" si="53"/>
        <v>-98845.697837151936</v>
      </c>
      <c r="O99" s="1609">
        <f t="shared" si="54"/>
        <v>-65004.839305719033</v>
      </c>
      <c r="P99" s="1614">
        <f t="shared" si="55"/>
        <v>-1174257.9184167655</v>
      </c>
      <c r="Q99" s="1614">
        <f t="shared" si="56"/>
        <v>-848308.90447884507</v>
      </c>
      <c r="R99" s="1614">
        <f t="shared" si="57"/>
        <v>-814468.04594741215</v>
      </c>
      <c r="S99" s="905"/>
      <c r="T99" s="905"/>
      <c r="U99" s="905"/>
      <c r="V99" s="905"/>
      <c r="W99" s="905"/>
    </row>
    <row r="100" spans="2:23" ht="12" x14ac:dyDescent="0.25">
      <c r="B100" s="931">
        <f t="shared" si="58"/>
        <v>12</v>
      </c>
      <c r="C100" s="1620">
        <f t="shared" si="59"/>
        <v>2028</v>
      </c>
      <c r="D100" s="1627">
        <f>-Emission.Costs!I369</f>
        <v>-1341751.0592797655</v>
      </c>
      <c r="E100" s="1627">
        <f t="shared" si="48"/>
        <v>-941077.19720643677</v>
      </c>
      <c r="F100" s="1627">
        <f t="shared" si="49"/>
        <v>-595753.51664414059</v>
      </c>
      <c r="H100" s="1604">
        <f t="shared" si="60"/>
        <v>12</v>
      </c>
      <c r="I100" s="1605">
        <f t="shared" si="60"/>
        <v>2028</v>
      </c>
      <c r="J100" s="1606">
        <f t="shared" si="50"/>
        <v>-1341751.0592797655</v>
      </c>
      <c r="K100" s="1607">
        <f t="shared" si="51"/>
        <v>-941077.19720643677</v>
      </c>
      <c r="L100" s="1608" t="s">
        <v>506</v>
      </c>
      <c r="M100" s="1609">
        <f t="shared" si="52"/>
        <v>-199437.90380676126</v>
      </c>
      <c r="N100" s="1609">
        <f t="shared" si="53"/>
        <v>-139881.73307792391</v>
      </c>
      <c r="O100" s="1609">
        <f t="shared" si="54"/>
        <v>-88552.814416105364</v>
      </c>
      <c r="P100" s="1614">
        <f t="shared" si="55"/>
        <v>-1541188.9630865268</v>
      </c>
      <c r="Q100" s="1614">
        <f t="shared" si="56"/>
        <v>-1080958.9302843607</v>
      </c>
      <c r="R100" s="1614">
        <f t="shared" si="57"/>
        <v>-1029630.0116225422</v>
      </c>
      <c r="S100" s="905"/>
      <c r="T100" s="905"/>
      <c r="U100" s="905"/>
      <c r="V100" s="905"/>
      <c r="W100" s="905"/>
    </row>
    <row r="101" spans="2:23" ht="12" x14ac:dyDescent="0.25">
      <c r="B101" s="931">
        <f t="shared" si="58"/>
        <v>13</v>
      </c>
      <c r="C101" s="1620">
        <f t="shared" si="59"/>
        <v>2029</v>
      </c>
      <c r="D101" s="1627">
        <f>-Emission.Costs!I370</f>
        <v>-571983.89134018309</v>
      </c>
      <c r="E101" s="1627">
        <f t="shared" si="48"/>
        <v>-389493.19726260996</v>
      </c>
      <c r="F101" s="1627">
        <f t="shared" si="49"/>
        <v>-237352.97967111637</v>
      </c>
      <c r="H101" s="1604">
        <f t="shared" si="60"/>
        <v>13</v>
      </c>
      <c r="I101" s="1605">
        <f t="shared" si="60"/>
        <v>2029</v>
      </c>
      <c r="J101" s="1606">
        <f t="shared" si="50"/>
        <v>-571983.89134018309</v>
      </c>
      <c r="K101" s="1607">
        <f t="shared" si="51"/>
        <v>-389493.19726260996</v>
      </c>
      <c r="L101" s="1608" t="s">
        <v>506</v>
      </c>
      <c r="M101" s="1609">
        <f t="shared" si="52"/>
        <v>-111629.73490650731</v>
      </c>
      <c r="N101" s="1609">
        <f t="shared" si="53"/>
        <v>-76014.41756766937</v>
      </c>
      <c r="O101" s="1609">
        <f t="shared" si="54"/>
        <v>-46322.37131342262</v>
      </c>
      <c r="P101" s="1614">
        <f t="shared" si="55"/>
        <v>-683613.6262466904</v>
      </c>
      <c r="Q101" s="1614">
        <f t="shared" si="56"/>
        <v>-465507.61483027932</v>
      </c>
      <c r="R101" s="1614">
        <f t="shared" si="57"/>
        <v>-435815.56857603259</v>
      </c>
      <c r="S101" s="905"/>
      <c r="T101" s="905"/>
      <c r="U101" s="905"/>
      <c r="V101" s="905"/>
      <c r="W101" s="905"/>
    </row>
    <row r="102" spans="2:23" ht="12" x14ac:dyDescent="0.25">
      <c r="B102" s="931">
        <f t="shared" si="58"/>
        <v>14</v>
      </c>
      <c r="C102" s="1620">
        <f t="shared" si="59"/>
        <v>2030</v>
      </c>
      <c r="D102" s="1627">
        <f>-Emission.Costs!I371</f>
        <v>-694520.86294467002</v>
      </c>
      <c r="E102" s="1627">
        <f t="shared" si="48"/>
        <v>-459160.1090052342</v>
      </c>
      <c r="F102" s="1627">
        <f t="shared" si="49"/>
        <v>-269347.16489617358</v>
      </c>
      <c r="H102" s="1604">
        <f t="shared" si="60"/>
        <v>14</v>
      </c>
      <c r="I102" s="1605">
        <f t="shared" si="60"/>
        <v>2030</v>
      </c>
      <c r="J102" s="1606">
        <f t="shared" si="50"/>
        <v>-694520.86294467002</v>
      </c>
      <c r="K102" s="1607">
        <f t="shared" si="51"/>
        <v>-459160.1090052342</v>
      </c>
      <c r="L102" s="1608" t="s">
        <v>506</v>
      </c>
      <c r="M102" s="1609">
        <f t="shared" si="52"/>
        <v>-123631.90869996609</v>
      </c>
      <c r="N102" s="1609">
        <f t="shared" si="53"/>
        <v>-81735.256208889448</v>
      </c>
      <c r="O102" s="1609">
        <f t="shared" si="54"/>
        <v>-47946.585733726657</v>
      </c>
      <c r="P102" s="1614">
        <f t="shared" si="55"/>
        <v>-818152.77164463606</v>
      </c>
      <c r="Q102" s="1614">
        <f t="shared" si="56"/>
        <v>-540895.36521412362</v>
      </c>
      <c r="R102" s="1614">
        <f t="shared" si="57"/>
        <v>-507106.69473896088</v>
      </c>
      <c r="S102" s="905"/>
      <c r="T102" s="905"/>
      <c r="U102" s="905"/>
      <c r="V102" s="905"/>
      <c r="W102" s="905"/>
    </row>
    <row r="103" spans="2:23" ht="12" x14ac:dyDescent="0.25">
      <c r="B103" s="931">
        <f t="shared" si="58"/>
        <v>15</v>
      </c>
      <c r="C103" s="1620">
        <f t="shared" si="59"/>
        <v>2031</v>
      </c>
      <c r="D103" s="1627">
        <f>-Emission.Costs!I372</f>
        <v>-812789.82175559853</v>
      </c>
      <c r="E103" s="1627">
        <f t="shared" si="48"/>
        <v>-521698.85781627952</v>
      </c>
      <c r="F103" s="1627">
        <f t="shared" si="49"/>
        <v>-294592.43570113968</v>
      </c>
      <c r="H103" s="1604">
        <f t="shared" si="60"/>
        <v>15</v>
      </c>
      <c r="I103" s="1605">
        <f t="shared" si="60"/>
        <v>2031</v>
      </c>
      <c r="J103" s="1606">
        <f t="shared" si="50"/>
        <v>-812789.82175559853</v>
      </c>
      <c r="K103" s="1607">
        <f t="shared" si="51"/>
        <v>-521698.85781627952</v>
      </c>
      <c r="L103" s="1608" t="s">
        <v>506</v>
      </c>
      <c r="M103" s="1609">
        <f t="shared" si="52"/>
        <v>-135907.64065617154</v>
      </c>
      <c r="N103" s="1609">
        <f t="shared" si="53"/>
        <v>-87233.942897663583</v>
      </c>
      <c r="O103" s="1609">
        <f t="shared" si="54"/>
        <v>-49259.18339481351</v>
      </c>
      <c r="P103" s="1614">
        <f t="shared" si="55"/>
        <v>-948697.46241177013</v>
      </c>
      <c r="Q103" s="1614">
        <f t="shared" si="56"/>
        <v>-608932.80071394308</v>
      </c>
      <c r="R103" s="1614">
        <f t="shared" si="57"/>
        <v>-570958.04121109308</v>
      </c>
      <c r="S103" s="905"/>
      <c r="T103" s="905"/>
      <c r="U103" s="905"/>
      <c r="V103" s="905"/>
      <c r="W103" s="905"/>
    </row>
    <row r="104" spans="2:23" ht="12" x14ac:dyDescent="0.25">
      <c r="B104" s="931">
        <f t="shared" si="58"/>
        <v>16</v>
      </c>
      <c r="C104" s="1620">
        <f t="shared" si="59"/>
        <v>2032</v>
      </c>
      <c r="D104" s="1627">
        <f>-Emission.Costs!I373</f>
        <v>-937380.74324572762</v>
      </c>
      <c r="E104" s="1627">
        <f t="shared" si="48"/>
        <v>-584144.68865231599</v>
      </c>
      <c r="F104" s="1627">
        <f t="shared" si="49"/>
        <v>-317523.28904561751</v>
      </c>
      <c r="H104" s="1604">
        <f t="shared" si="60"/>
        <v>16</v>
      </c>
      <c r="I104" s="1605">
        <f t="shared" si="60"/>
        <v>2032</v>
      </c>
      <c r="J104" s="1606">
        <f t="shared" si="50"/>
        <v>-937380.74324572762</v>
      </c>
      <c r="K104" s="1607">
        <f t="shared" si="51"/>
        <v>-584144.68865231599</v>
      </c>
      <c r="L104" s="1608" t="s">
        <v>506</v>
      </c>
      <c r="M104" s="1609">
        <f t="shared" si="52"/>
        <v>-148462.71511704955</v>
      </c>
      <c r="N104" s="1609">
        <f t="shared" si="53"/>
        <v>-92517.055767799568</v>
      </c>
      <c r="O104" s="1609">
        <f t="shared" si="54"/>
        <v>-50289.458092964669</v>
      </c>
      <c r="P104" s="1614">
        <f t="shared" si="55"/>
        <v>-1085843.4583627773</v>
      </c>
      <c r="Q104" s="1614">
        <f t="shared" si="56"/>
        <v>-676661.7444201156</v>
      </c>
      <c r="R104" s="1614">
        <f t="shared" si="57"/>
        <v>-634434.14674528071</v>
      </c>
      <c r="S104" s="905"/>
      <c r="T104" s="905"/>
      <c r="U104" s="905"/>
      <c r="V104" s="905"/>
      <c r="W104" s="905"/>
    </row>
    <row r="105" spans="2:23" ht="12" x14ac:dyDescent="0.25">
      <c r="B105" s="931">
        <f t="shared" si="58"/>
        <v>17</v>
      </c>
      <c r="C105" s="1620">
        <f t="shared" si="59"/>
        <v>2033</v>
      </c>
      <c r="D105" s="1627">
        <f>-Emission.Costs!I374</f>
        <v>-1068489.093774325</v>
      </c>
      <c r="E105" s="1627">
        <f t="shared" si="48"/>
        <v>-646453.47393924254</v>
      </c>
      <c r="F105" s="1627">
        <f t="shared" si="49"/>
        <v>-338256.28357915638</v>
      </c>
      <c r="H105" s="1604">
        <f t="shared" si="60"/>
        <v>17</v>
      </c>
      <c r="I105" s="1605">
        <f t="shared" si="60"/>
        <v>2033</v>
      </c>
      <c r="J105" s="1606">
        <f t="shared" si="50"/>
        <v>-1068489.093774325</v>
      </c>
      <c r="K105" s="1607">
        <f t="shared" si="51"/>
        <v>-646453.47393924254</v>
      </c>
      <c r="L105" s="1608" t="s">
        <v>506</v>
      </c>
      <c r="M105" s="1609">
        <f t="shared" si="52"/>
        <v>-161303.03891948544</v>
      </c>
      <c r="N105" s="1609">
        <f t="shared" si="53"/>
        <v>-97590.991311027887</v>
      </c>
      <c r="O105" s="1609">
        <f t="shared" si="54"/>
        <v>-51064.411225944743</v>
      </c>
      <c r="P105" s="1614">
        <f t="shared" si="55"/>
        <v>-1229792.1326938104</v>
      </c>
      <c r="Q105" s="1614">
        <f t="shared" si="56"/>
        <v>-744044.46525027044</v>
      </c>
      <c r="R105" s="1614">
        <f t="shared" si="57"/>
        <v>-697517.8851651873</v>
      </c>
      <c r="S105" s="905"/>
      <c r="T105" s="905"/>
      <c r="U105" s="905"/>
      <c r="V105" s="905"/>
      <c r="W105" s="905"/>
    </row>
    <row r="106" spans="2:23" ht="12" x14ac:dyDescent="0.25">
      <c r="B106" s="931">
        <f t="shared" si="58"/>
        <v>18</v>
      </c>
      <c r="C106" s="1620">
        <f t="shared" si="59"/>
        <v>2034</v>
      </c>
      <c r="D106" s="1627">
        <f>-Emission.Costs!I375</f>
        <v>-158376.8233235199</v>
      </c>
      <c r="E106" s="1627">
        <f t="shared" si="48"/>
        <v>-93029.69199163231</v>
      </c>
      <c r="F106" s="1627">
        <f t="shared" si="49"/>
        <v>-46857.987203070443</v>
      </c>
      <c r="H106" s="1604">
        <f t="shared" si="60"/>
        <v>18</v>
      </c>
      <c r="I106" s="1605">
        <f t="shared" si="60"/>
        <v>2034</v>
      </c>
      <c r="J106" s="1606">
        <f t="shared" si="50"/>
        <v>-158376.8233235199</v>
      </c>
      <c r="K106" s="1607">
        <f t="shared" si="51"/>
        <v>-93029.69199163231</v>
      </c>
      <c r="L106" s="1608" t="s">
        <v>506</v>
      </c>
      <c r="M106" s="1609">
        <f t="shared" si="52"/>
        <v>81503.873307831731</v>
      </c>
      <c r="N106" s="1609">
        <f t="shared" si="53"/>
        <v>47874.935680861039</v>
      </c>
      <c r="O106" s="1609">
        <f t="shared" si="54"/>
        <v>24114.055152234476</v>
      </c>
      <c r="P106" s="1614">
        <f t="shared" si="55"/>
        <v>-76872.95001568817</v>
      </c>
      <c r="Q106" s="1614">
        <f t="shared" si="56"/>
        <v>-45154.75631077127</v>
      </c>
      <c r="R106" s="1614">
        <f t="shared" si="57"/>
        <v>-68915.636839397834</v>
      </c>
      <c r="S106" s="905"/>
      <c r="T106" s="905"/>
      <c r="U106" s="905"/>
      <c r="V106" s="905"/>
      <c r="W106" s="905"/>
    </row>
    <row r="107" spans="2:23" ht="12" x14ac:dyDescent="0.25">
      <c r="B107" s="931">
        <f t="shared" si="58"/>
        <v>19</v>
      </c>
      <c r="C107" s="1620">
        <f t="shared" si="59"/>
        <v>2035</v>
      </c>
      <c r="D107" s="1627">
        <f>-Emission.Costs!I376</f>
        <v>-279197.47057432379</v>
      </c>
      <c r="E107" s="1627">
        <f t="shared" si="48"/>
        <v>-159222.41618977045</v>
      </c>
      <c r="F107" s="1627">
        <f t="shared" si="49"/>
        <v>-77200.427169349176</v>
      </c>
      <c r="H107" s="1604">
        <f t="shared" si="60"/>
        <v>19</v>
      </c>
      <c r="I107" s="1605">
        <f t="shared" si="60"/>
        <v>2035</v>
      </c>
      <c r="J107" s="1606">
        <f t="shared" si="50"/>
        <v>-279197.47057432379</v>
      </c>
      <c r="K107" s="1607">
        <f t="shared" si="51"/>
        <v>-159222.41618977045</v>
      </c>
      <c r="L107" s="1608" t="s">
        <v>506</v>
      </c>
      <c r="M107" s="1609">
        <f t="shared" si="52"/>
        <v>69704.015636340264</v>
      </c>
      <c r="N107" s="1609">
        <f t="shared" si="53"/>
        <v>39751.226130084782</v>
      </c>
      <c r="O107" s="1609">
        <f t="shared" si="54"/>
        <v>19273.741167765937</v>
      </c>
      <c r="P107" s="1614">
        <f t="shared" si="55"/>
        <v>-209493.45493798354</v>
      </c>
      <c r="Q107" s="1614">
        <f t="shared" si="56"/>
        <v>-119471.19005968567</v>
      </c>
      <c r="R107" s="1614">
        <f t="shared" si="57"/>
        <v>-139948.67502200452</v>
      </c>
      <c r="S107" s="905"/>
      <c r="T107" s="905"/>
      <c r="U107" s="905"/>
      <c r="V107" s="905"/>
      <c r="W107" s="905"/>
    </row>
    <row r="108" spans="2:23" ht="12" x14ac:dyDescent="0.25">
      <c r="B108" s="931">
        <f t="shared" si="58"/>
        <v>20</v>
      </c>
      <c r="C108" s="1620">
        <f t="shared" si="59"/>
        <v>2036</v>
      </c>
      <c r="D108" s="1627">
        <f>-Emission.Costs!I377</f>
        <v>-406882.4183110015</v>
      </c>
      <c r="E108" s="1627">
        <f t="shared" si="48"/>
        <v>-225280.9298235036</v>
      </c>
      <c r="F108" s="1627">
        <f t="shared" si="49"/>
        <v>-105146.1488024244</v>
      </c>
      <c r="H108" s="1604">
        <f t="shared" si="60"/>
        <v>20</v>
      </c>
      <c r="I108" s="1605">
        <f t="shared" si="60"/>
        <v>2036</v>
      </c>
      <c r="J108" s="1606">
        <f t="shared" si="50"/>
        <v>-406882.4183110015</v>
      </c>
      <c r="K108" s="1607">
        <f t="shared" si="51"/>
        <v>-225280.9298235036</v>
      </c>
      <c r="L108" s="1608" t="s">
        <v>506</v>
      </c>
      <c r="M108" s="1609">
        <f t="shared" si="52"/>
        <v>57613.034333638308</v>
      </c>
      <c r="N108" s="1609">
        <f t="shared" si="53"/>
        <v>31898.940235640403</v>
      </c>
      <c r="O108" s="1609">
        <f t="shared" si="54"/>
        <v>14888.302881579992</v>
      </c>
      <c r="P108" s="1614">
        <f t="shared" si="55"/>
        <v>-349269.38397736318</v>
      </c>
      <c r="Q108" s="1614">
        <f t="shared" si="56"/>
        <v>-193381.98958786321</v>
      </c>
      <c r="R108" s="1614">
        <f t="shared" si="57"/>
        <v>-210392.62694192361</v>
      </c>
      <c r="S108" s="905"/>
      <c r="T108" s="905"/>
      <c r="U108" s="905"/>
      <c r="V108" s="905"/>
      <c r="W108" s="905"/>
    </row>
    <row r="109" spans="2:23" ht="12" x14ac:dyDescent="0.25">
      <c r="B109" s="931">
        <f t="shared" si="58"/>
        <v>21</v>
      </c>
      <c r="C109" s="1620">
        <f t="shared" si="59"/>
        <v>2037</v>
      </c>
      <c r="D109" s="1627">
        <f>-Emission.Costs!I378</f>
        <v>-798239.85860588821</v>
      </c>
      <c r="E109" s="1627">
        <f t="shared" si="48"/>
        <v>-429093.25799534813</v>
      </c>
      <c r="F109" s="1627">
        <f t="shared" si="49"/>
        <v>-192785.37221235249</v>
      </c>
      <c r="H109" s="1604">
        <f t="shared" si="60"/>
        <v>21</v>
      </c>
      <c r="I109" s="1605">
        <f t="shared" si="60"/>
        <v>2037</v>
      </c>
      <c r="J109" s="1606">
        <f t="shared" si="50"/>
        <v>-798239.85860588821</v>
      </c>
      <c r="K109" s="1607">
        <f t="shared" si="51"/>
        <v>-429093.25799534813</v>
      </c>
      <c r="L109" s="1608" t="s">
        <v>506</v>
      </c>
      <c r="M109" s="1609">
        <f t="shared" si="52"/>
        <v>7345.190967163976</v>
      </c>
      <c r="N109" s="1609">
        <f t="shared" si="53"/>
        <v>3948.4020858127865</v>
      </c>
      <c r="O109" s="1609">
        <f t="shared" si="54"/>
        <v>1773.9597431887387</v>
      </c>
      <c r="P109" s="1614">
        <f t="shared" si="55"/>
        <v>-790894.6676387242</v>
      </c>
      <c r="Q109" s="1614">
        <f t="shared" si="56"/>
        <v>-425144.85590953537</v>
      </c>
      <c r="R109" s="1614">
        <f t="shared" si="57"/>
        <v>-427319.29825215938</v>
      </c>
      <c r="S109" s="905"/>
      <c r="T109" s="905"/>
      <c r="U109" s="905"/>
      <c r="V109" s="905"/>
      <c r="W109" s="905"/>
    </row>
    <row r="110" spans="2:23" ht="12" x14ac:dyDescent="0.25">
      <c r="B110" s="931">
        <f t="shared" si="58"/>
        <v>22</v>
      </c>
      <c r="C110" s="1620">
        <f t="shared" si="59"/>
        <v>2038</v>
      </c>
      <c r="D110" s="1627">
        <f>-Emission.Costs!I379</f>
        <v>-961054.12079504144</v>
      </c>
      <c r="E110" s="1627">
        <f t="shared" si="48"/>
        <v>-501566.93858523865</v>
      </c>
      <c r="F110" s="1627">
        <f t="shared" si="49"/>
        <v>-216922.56751333209</v>
      </c>
      <c r="H110" s="1604">
        <f t="shared" si="60"/>
        <v>22</v>
      </c>
      <c r="I110" s="1605">
        <f t="shared" si="60"/>
        <v>2038</v>
      </c>
      <c r="J110" s="1606">
        <f t="shared" si="50"/>
        <v>-961054.12079504144</v>
      </c>
      <c r="K110" s="1607">
        <f t="shared" si="51"/>
        <v>-501566.93858523865</v>
      </c>
      <c r="L110" s="1608" t="s">
        <v>506</v>
      </c>
      <c r="M110" s="1609">
        <f t="shared" si="52"/>
        <v>-5664.0553009615705</v>
      </c>
      <c r="N110" s="1609">
        <f t="shared" si="53"/>
        <v>-2956.0279861560998</v>
      </c>
      <c r="O110" s="1609">
        <f t="shared" si="54"/>
        <v>-1278.4518497310646</v>
      </c>
      <c r="P110" s="1614">
        <f t="shared" si="55"/>
        <v>-966718.17609600304</v>
      </c>
      <c r="Q110" s="1614">
        <f t="shared" si="56"/>
        <v>-504522.96657139476</v>
      </c>
      <c r="R110" s="1614">
        <f t="shared" si="57"/>
        <v>-502845.39043496974</v>
      </c>
      <c r="S110" s="905"/>
      <c r="T110" s="905"/>
      <c r="U110" s="905"/>
      <c r="V110" s="905"/>
      <c r="W110" s="905"/>
    </row>
    <row r="111" spans="2:23" ht="12" x14ac:dyDescent="0.25">
      <c r="B111" s="931">
        <f t="shared" si="58"/>
        <v>23</v>
      </c>
      <c r="C111" s="1620">
        <f t="shared" si="59"/>
        <v>2039</v>
      </c>
      <c r="D111" s="1627">
        <f>-Emission.Costs!I380</f>
        <v>-1119062.5768406242</v>
      </c>
      <c r="E111" s="1627">
        <f t="shared" si="48"/>
        <v>-567019.77366161544</v>
      </c>
      <c r="F111" s="1627">
        <f t="shared" si="49"/>
        <v>-236062.76285279161</v>
      </c>
      <c r="H111" s="1604">
        <f t="shared" si="60"/>
        <v>23</v>
      </c>
      <c r="I111" s="1605">
        <f t="shared" si="60"/>
        <v>2039</v>
      </c>
      <c r="J111" s="1606">
        <f t="shared" si="50"/>
        <v>-1119062.5768406242</v>
      </c>
      <c r="K111" s="1607">
        <f t="shared" si="51"/>
        <v>-567019.77366161544</v>
      </c>
      <c r="L111" s="1608" t="s">
        <v>506</v>
      </c>
      <c r="M111" s="1609">
        <f t="shared" si="52"/>
        <v>-18986.896823315052</v>
      </c>
      <c r="N111" s="1609">
        <f t="shared" si="53"/>
        <v>-9620.5039486597179</v>
      </c>
      <c r="O111" s="1609">
        <f t="shared" si="54"/>
        <v>-4005.2267092754187</v>
      </c>
      <c r="P111" s="1614">
        <f t="shared" si="55"/>
        <v>-1138049.4736639392</v>
      </c>
      <c r="Q111" s="1614">
        <f t="shared" si="56"/>
        <v>-576640.2776102752</v>
      </c>
      <c r="R111" s="1614">
        <f t="shared" si="57"/>
        <v>-571025.00037089083</v>
      </c>
      <c r="S111" s="905"/>
      <c r="T111" s="905"/>
      <c r="U111" s="905"/>
      <c r="V111" s="905"/>
      <c r="W111" s="905"/>
    </row>
    <row r="112" spans="2:23" ht="12" x14ac:dyDescent="0.25">
      <c r="B112" s="931">
        <f t="shared" si="58"/>
        <v>24</v>
      </c>
      <c r="C112" s="1620">
        <f t="shared" si="59"/>
        <v>2040</v>
      </c>
      <c r="D112" s="1627">
        <f>-Emission.Costs!I381</f>
        <v>-728833.14226045448</v>
      </c>
      <c r="E112" s="1627">
        <f t="shared" si="48"/>
        <v>-358537.61084025056</v>
      </c>
      <c r="F112" s="1627">
        <f t="shared" si="49"/>
        <v>-143686.99050330886</v>
      </c>
      <c r="H112" s="1604">
        <f t="shared" si="60"/>
        <v>24</v>
      </c>
      <c r="I112" s="1605">
        <f t="shared" si="60"/>
        <v>2040</v>
      </c>
      <c r="J112" s="1606">
        <f t="shared" si="50"/>
        <v>-728833.14226045448</v>
      </c>
      <c r="K112" s="1607">
        <f t="shared" si="51"/>
        <v>-358537.61084025056</v>
      </c>
      <c r="L112" s="1608" t="s">
        <v>506</v>
      </c>
      <c r="M112" s="1609">
        <f t="shared" si="52"/>
        <v>44739.728702066997</v>
      </c>
      <c r="N112" s="1609">
        <f t="shared" si="53"/>
        <v>22008.981903223808</v>
      </c>
      <c r="O112" s="1609">
        <f t="shared" si="54"/>
        <v>8820.2862910386593</v>
      </c>
      <c r="P112" s="1614">
        <f t="shared" si="55"/>
        <v>-684093.41355838743</v>
      </c>
      <c r="Q112" s="1614">
        <f t="shared" si="56"/>
        <v>-336528.62893702678</v>
      </c>
      <c r="R112" s="1614">
        <f t="shared" si="57"/>
        <v>-349717.32454921189</v>
      </c>
      <c r="S112" s="905"/>
      <c r="T112" s="905"/>
      <c r="U112" s="905"/>
      <c r="V112" s="905"/>
      <c r="W112" s="905"/>
    </row>
    <row r="113" spans="2:25" ht="12" x14ac:dyDescent="0.25">
      <c r="B113" s="931">
        <f t="shared" si="58"/>
        <v>25</v>
      </c>
      <c r="C113" s="1620">
        <f t="shared" si="59"/>
        <v>2041</v>
      </c>
      <c r="D113" s="1627">
        <f>-Emission.Costs!I382</f>
        <v>802706.56917527562</v>
      </c>
      <c r="E113" s="1627">
        <f t="shared" si="48"/>
        <v>383377.12792103132</v>
      </c>
      <c r="F113" s="1627">
        <f t="shared" si="49"/>
        <v>147898.02516224326</v>
      </c>
      <c r="H113" s="1604">
        <f t="shared" ref="H113:I115" si="61">H112+1</f>
        <v>25</v>
      </c>
      <c r="I113" s="1605">
        <f t="shared" si="61"/>
        <v>2041</v>
      </c>
      <c r="J113" s="1606">
        <f t="shared" si="50"/>
        <v>802706.56917527562</v>
      </c>
      <c r="K113" s="1607">
        <f t="shared" si="51"/>
        <v>383377.12792103132</v>
      </c>
      <c r="L113" s="1608" t="s">
        <v>506</v>
      </c>
      <c r="M113" s="1609">
        <f t="shared" si="52"/>
        <v>371173.23776050599</v>
      </c>
      <c r="N113" s="1609">
        <f t="shared" si="53"/>
        <v>177274.40551529982</v>
      </c>
      <c r="O113" s="1609">
        <f t="shared" si="54"/>
        <v>68388.363775639911</v>
      </c>
      <c r="P113" s="1614">
        <f t="shared" si="55"/>
        <v>1173879.8069357816</v>
      </c>
      <c r="Q113" s="1614">
        <f t="shared" si="56"/>
        <v>560651.5334363312</v>
      </c>
      <c r="R113" s="1614">
        <f t="shared" si="57"/>
        <v>451765.49169667123</v>
      </c>
      <c r="S113" s="905"/>
      <c r="T113" s="905"/>
      <c r="U113" s="905"/>
      <c r="V113" s="905"/>
      <c r="W113" s="905"/>
    </row>
    <row r="114" spans="2:25" ht="12" x14ac:dyDescent="0.25">
      <c r="B114" s="931">
        <f t="shared" si="58"/>
        <v>26</v>
      </c>
      <c r="C114" s="1620">
        <f t="shared" si="59"/>
        <v>2042</v>
      </c>
      <c r="D114" s="1627">
        <f>-Emission.Costs!I383</f>
        <v>655442.62932596519</v>
      </c>
      <c r="E114" s="1627">
        <f t="shared" si="48"/>
        <v>303925.29135688016</v>
      </c>
      <c r="F114" s="1627">
        <f t="shared" si="49"/>
        <v>112864.26669749836</v>
      </c>
      <c r="H114" s="1604">
        <f t="shared" si="61"/>
        <v>26</v>
      </c>
      <c r="I114" s="1605">
        <f t="shared" si="61"/>
        <v>2042</v>
      </c>
      <c r="J114" s="1606">
        <f t="shared" si="50"/>
        <v>655442.62932596519</v>
      </c>
      <c r="K114" s="1607">
        <f t="shared" si="51"/>
        <v>303925.29135688016</v>
      </c>
      <c r="L114" s="1608" t="s">
        <v>506</v>
      </c>
      <c r="M114" s="1609">
        <f t="shared" si="52"/>
        <v>358679.23017668864</v>
      </c>
      <c r="N114" s="1609">
        <f t="shared" si="53"/>
        <v>166317.66787463223</v>
      </c>
      <c r="O114" s="1609">
        <f t="shared" si="54"/>
        <v>61762.946873238267</v>
      </c>
      <c r="P114" s="1614">
        <f t="shared" si="55"/>
        <v>1014121.8595026538</v>
      </c>
      <c r="Q114" s="1614">
        <f t="shared" si="56"/>
        <v>470242.95923151239</v>
      </c>
      <c r="R114" s="1614">
        <f t="shared" si="57"/>
        <v>365688.23823011841</v>
      </c>
      <c r="S114" s="905"/>
      <c r="T114" s="905"/>
      <c r="U114" s="905"/>
      <c r="V114" s="905"/>
      <c r="W114" s="905"/>
    </row>
    <row r="115" spans="2:25" ht="12" x14ac:dyDescent="0.25">
      <c r="B115" s="931">
        <f t="shared" si="58"/>
        <v>27</v>
      </c>
      <c r="C115" s="1620">
        <f t="shared" si="59"/>
        <v>2043</v>
      </c>
      <c r="D115" s="1627">
        <f>-Emission.Costs!I384</f>
        <v>511596.76861273893</v>
      </c>
      <c r="E115" s="1627">
        <f t="shared" si="48"/>
        <v>230315.26619446956</v>
      </c>
      <c r="F115" s="1627">
        <f t="shared" si="49"/>
        <v>82331.455882551003</v>
      </c>
      <c r="H115" s="1604">
        <f t="shared" si="61"/>
        <v>27</v>
      </c>
      <c r="I115" s="1605">
        <f t="shared" si="61"/>
        <v>2043</v>
      </c>
      <c r="J115" s="1606">
        <f t="shared" si="50"/>
        <v>511596.76861273893</v>
      </c>
      <c r="K115" s="1607">
        <f t="shared" si="51"/>
        <v>230315.26619446956</v>
      </c>
      <c r="L115" s="1608" t="s">
        <v>506</v>
      </c>
      <c r="M115" s="1609">
        <f t="shared" si="52"/>
        <v>345840.15832461242</v>
      </c>
      <c r="N115" s="1609">
        <f t="shared" si="53"/>
        <v>155693.45432196156</v>
      </c>
      <c r="O115" s="1609">
        <f t="shared" si="54"/>
        <v>55656.183706411866</v>
      </c>
      <c r="P115" s="1614">
        <f t="shared" si="55"/>
        <v>857436.92693735135</v>
      </c>
      <c r="Q115" s="1614">
        <f t="shared" si="56"/>
        <v>386008.72051643115</v>
      </c>
      <c r="R115" s="1614">
        <f t="shared" si="57"/>
        <v>285971.44990088145</v>
      </c>
      <c r="S115" s="905"/>
      <c r="T115" s="905"/>
      <c r="U115" s="905"/>
      <c r="V115" s="905"/>
      <c r="W115" s="905"/>
    </row>
    <row r="116" spans="2:25" ht="12.75" thickBot="1" x14ac:dyDescent="0.3">
      <c r="B116" s="917" t="s">
        <v>314</v>
      </c>
      <c r="C116" s="1460"/>
      <c r="D116" s="1637"/>
      <c r="E116" s="1634"/>
      <c r="F116" s="1629"/>
      <c r="H116" s="1610" t="s">
        <v>314</v>
      </c>
      <c r="I116" s="1611"/>
      <c r="J116" s="1612">
        <f>SUM(J95:J115)</f>
        <v>-13086637.875619203</v>
      </c>
      <c r="K116" s="1613">
        <f>SUM(K95:K115)</f>
        <v>-8943218.243918905</v>
      </c>
      <c r="L116" s="1613">
        <f>SUM(L95:L115)</f>
        <v>0</v>
      </c>
      <c r="M116" s="1612">
        <f t="shared" ref="M116" si="62">SUM(M95:M115)</f>
        <v>3485609.4679585625</v>
      </c>
      <c r="N116" s="1613">
        <f>SUM(N95:N115)</f>
        <v>2520764.9621138466</v>
      </c>
      <c r="O116" s="1613">
        <f>SUM(O95:O115)</f>
        <v>1782189.6116655997</v>
      </c>
      <c r="P116" s="1613">
        <f t="shared" ref="P116:R116" si="63">SUM(P95:P115)</f>
        <v>-9601028.4076606389</v>
      </c>
      <c r="Q116" s="1613">
        <f t="shared" si="63"/>
        <v>-6422453.2818050589</v>
      </c>
      <c r="R116" s="1613">
        <f t="shared" si="63"/>
        <v>-7161028.6322533069</v>
      </c>
      <c r="S116" s="905"/>
      <c r="T116" s="905"/>
      <c r="U116" s="905"/>
      <c r="V116" s="905"/>
      <c r="W116" s="905"/>
    </row>
    <row r="117" spans="2:25" ht="12" x14ac:dyDescent="0.25">
      <c r="B117" s="905" t="str">
        <f>Emission.Costs!E386</f>
        <v>Note: Negative values represent savings and positive values represent losses</v>
      </c>
    </row>
    <row r="119" spans="2:25" ht="16.5" thickBot="1" x14ac:dyDescent="0.3">
      <c r="B119" s="945" t="s">
        <v>706</v>
      </c>
      <c r="C119" s="900"/>
      <c r="D119" s="900"/>
      <c r="E119" s="900"/>
      <c r="F119" s="900"/>
      <c r="G119" s="900"/>
      <c r="H119" s="900"/>
      <c r="I119" s="900"/>
      <c r="J119" s="900"/>
      <c r="K119" s="901"/>
      <c r="L119" s="901"/>
      <c r="M119" s="901"/>
      <c r="N119" s="901"/>
      <c r="O119" s="901"/>
      <c r="P119" s="901"/>
      <c r="Q119" s="901"/>
      <c r="R119" s="901"/>
      <c r="S119" s="901"/>
      <c r="T119" s="901"/>
      <c r="U119" s="901"/>
      <c r="V119" s="901"/>
      <c r="W119" s="901"/>
      <c r="X119" s="901"/>
      <c r="Y119" s="901"/>
    </row>
    <row r="120" spans="2:25" s="920" customFormat="1" ht="12" x14ac:dyDescent="0.25">
      <c r="B120" s="907" t="s">
        <v>182</v>
      </c>
      <c r="C120" s="928" t="s">
        <v>180</v>
      </c>
      <c r="D120" s="928" t="s">
        <v>178</v>
      </c>
      <c r="E120" s="928" t="s">
        <v>268</v>
      </c>
      <c r="F120" s="928" t="s">
        <v>269</v>
      </c>
      <c r="G120" s="936" t="s">
        <v>270</v>
      </c>
      <c r="H120" s="928" t="s">
        <v>271</v>
      </c>
      <c r="I120" s="928" t="s">
        <v>272</v>
      </c>
      <c r="J120" s="908" t="s">
        <v>273</v>
      </c>
      <c r="K120" s="910"/>
      <c r="L120" s="910"/>
      <c r="M120" s="910"/>
      <c r="N120" s="934"/>
      <c r="O120" s="934"/>
      <c r="P120" s="934"/>
      <c r="Q120" s="934"/>
      <c r="R120" s="934"/>
      <c r="S120" s="934"/>
      <c r="T120" s="934"/>
      <c r="U120" s="934"/>
      <c r="V120" s="934"/>
      <c r="W120" s="934"/>
      <c r="X120" s="910"/>
      <c r="Y120" s="910"/>
    </row>
    <row r="121" spans="2:25" ht="36.75" customHeight="1" x14ac:dyDescent="0.3">
      <c r="B121" s="1782" t="s">
        <v>7</v>
      </c>
      <c r="C121" s="1783" t="s">
        <v>275</v>
      </c>
      <c r="D121" s="1784" t="s">
        <v>333</v>
      </c>
      <c r="E121" s="1784" t="s">
        <v>334</v>
      </c>
      <c r="F121" s="1784" t="s">
        <v>335</v>
      </c>
      <c r="G121" s="1784" t="s">
        <v>360</v>
      </c>
      <c r="H121" s="1784" t="s">
        <v>336</v>
      </c>
      <c r="I121" s="1785" t="s">
        <v>363</v>
      </c>
      <c r="J121" s="1786"/>
      <c r="K121" s="911"/>
      <c r="L121" s="903"/>
      <c r="M121" s="911"/>
      <c r="N121" s="911"/>
      <c r="O121" s="911"/>
      <c r="P121" s="903"/>
      <c r="Q121" s="911"/>
      <c r="R121" s="911"/>
      <c r="S121" s="911"/>
      <c r="T121" s="903"/>
      <c r="U121" s="911"/>
      <c r="V121" s="911"/>
      <c r="W121" s="911"/>
      <c r="X121" s="903"/>
      <c r="Y121" s="903"/>
    </row>
    <row r="122" spans="2:25" ht="12" x14ac:dyDescent="0.3">
      <c r="B122" s="1782"/>
      <c r="C122" s="1783"/>
      <c r="D122" s="1784"/>
      <c r="E122" s="1784"/>
      <c r="F122" s="1784"/>
      <c r="G122" s="1784"/>
      <c r="H122" s="1784"/>
      <c r="I122" s="1630">
        <f>3/100</f>
        <v>0.03</v>
      </c>
      <c r="J122" s="912">
        <f>7/100</f>
        <v>7.0000000000000007E-2</v>
      </c>
      <c r="K122" s="913"/>
      <c r="L122" s="903"/>
      <c r="M122" s="913"/>
      <c r="N122" s="913"/>
      <c r="O122" s="913"/>
      <c r="P122" s="903"/>
      <c r="Q122" s="913"/>
      <c r="R122" s="913"/>
      <c r="S122" s="913"/>
      <c r="T122" s="903"/>
      <c r="U122" s="913"/>
      <c r="V122" s="913"/>
      <c r="W122" s="913"/>
      <c r="X122" s="903"/>
      <c r="Y122" s="903"/>
    </row>
    <row r="123" spans="2:25" ht="24" x14ac:dyDescent="0.3">
      <c r="B123" s="1782"/>
      <c r="C123" s="1783"/>
      <c r="D123" s="1784"/>
      <c r="E123" s="1784"/>
      <c r="F123" s="1784"/>
      <c r="G123" s="1784"/>
      <c r="H123" s="1784"/>
      <c r="I123" s="1622" t="s">
        <v>514</v>
      </c>
      <c r="J123" s="1616" t="s">
        <v>515</v>
      </c>
      <c r="K123" s="913"/>
      <c r="L123" s="1787"/>
      <c r="M123" s="1787"/>
      <c r="N123" s="913"/>
      <c r="O123" s="913"/>
      <c r="P123" s="903"/>
      <c r="Q123" s="913"/>
      <c r="R123" s="913"/>
      <c r="S123" s="913"/>
      <c r="T123" s="903"/>
      <c r="U123" s="913"/>
      <c r="V123" s="913"/>
      <c r="W123" s="913"/>
      <c r="X123" s="903"/>
      <c r="Y123" s="903"/>
    </row>
    <row r="124" spans="2:25" ht="12" x14ac:dyDescent="0.25">
      <c r="B124" s="931">
        <v>7</v>
      </c>
      <c r="C124" s="1620">
        <v>2023</v>
      </c>
      <c r="D124" s="1627">
        <f>-Emission.Costs!L364</f>
        <v>-33921.319744430395</v>
      </c>
      <c r="E124" s="1627">
        <f>-Emission.Costs!O364</f>
        <v>1380861.5106164839</v>
      </c>
      <c r="F124" s="1627">
        <f>-Emission.Costs!R364</f>
        <v>167773.4936043194</v>
      </c>
      <c r="G124" s="1627">
        <f>-Emission.Costs!U364</f>
        <v>-27562.723243392884</v>
      </c>
      <c r="H124" s="1627">
        <f t="shared" ref="H124" si="64">D124+E124+F124+G124</f>
        <v>1487150.96123298</v>
      </c>
      <c r="I124" s="1627">
        <f>H124/(1+$I$122)^B124</f>
        <v>1209189.822664645</v>
      </c>
      <c r="J124" s="1638">
        <f>H124/(1+$J$122)^B124</f>
        <v>926122.87725125987</v>
      </c>
      <c r="K124" s="915"/>
      <c r="L124" s="937"/>
      <c r="M124" s="938"/>
      <c r="N124" s="915"/>
      <c r="O124" s="915"/>
      <c r="P124" s="903"/>
      <c r="Q124" s="915"/>
      <c r="R124" s="915"/>
      <c r="S124" s="915"/>
      <c r="T124" s="903"/>
      <c r="U124" s="939"/>
      <c r="V124" s="939"/>
      <c r="W124" s="939"/>
      <c r="X124" s="903"/>
      <c r="Y124" s="903"/>
    </row>
    <row r="125" spans="2:25" ht="12" x14ac:dyDescent="0.25">
      <c r="B125" s="931">
        <f>B124+1</f>
        <v>8</v>
      </c>
      <c r="C125" s="1620">
        <f>C124+1</f>
        <v>2024</v>
      </c>
      <c r="D125" s="1627">
        <f>-Emission.Costs!L365</f>
        <v>-32118.129317546242</v>
      </c>
      <c r="E125" s="1627">
        <f>-Emission.Costs!O365</f>
        <v>1447804.5615157357</v>
      </c>
      <c r="F125" s="1627">
        <f>-Emission.Costs!R365</f>
        <v>555584.11664246651</v>
      </c>
      <c r="G125" s="1627">
        <f>-Emission.Costs!U365</f>
        <v>-28142.235070120463</v>
      </c>
      <c r="H125" s="1627">
        <f t="shared" ref="H125:H144" si="65">D125+E125+F125+G125</f>
        <v>1943128.3137705354</v>
      </c>
      <c r="I125" s="1627">
        <f t="shared" ref="I125:I144" si="66">H125/(1+$I$122)^B125</f>
        <v>1533923.4343473276</v>
      </c>
      <c r="J125" s="1638">
        <f t="shared" ref="J125:J144" si="67">H125/(1+$J$122)^B125</f>
        <v>1130918.3699525623</v>
      </c>
      <c r="K125" s="915"/>
      <c r="L125" s="937"/>
      <c r="M125" s="938"/>
      <c r="N125" s="915"/>
      <c r="O125" s="915"/>
      <c r="P125" s="903"/>
      <c r="Q125" s="915"/>
      <c r="R125" s="915"/>
      <c r="S125" s="915"/>
      <c r="T125" s="903"/>
      <c r="U125" s="939"/>
      <c r="V125" s="939"/>
      <c r="W125" s="939"/>
      <c r="X125" s="903"/>
      <c r="Y125" s="903"/>
    </row>
    <row r="126" spans="2:25" ht="12" x14ac:dyDescent="0.25">
      <c r="B126" s="931">
        <f t="shared" ref="B126:B144" si="68">B125+1</f>
        <v>9</v>
      </c>
      <c r="C126" s="1620">
        <f t="shared" ref="C126:C144" si="69">C125+1</f>
        <v>2025</v>
      </c>
      <c r="D126" s="1627">
        <f>-Emission.Costs!L366</f>
        <v>-3445.6493396370743</v>
      </c>
      <c r="E126" s="1627">
        <f>-Emission.Costs!O366</f>
        <v>-67753.925314127642</v>
      </c>
      <c r="F126" s="1627">
        <f>-Emission.Costs!R366</f>
        <v>-40499.608950384922</v>
      </c>
      <c r="G126" s="1627">
        <f>-Emission.Costs!U366</f>
        <v>-3456.3357766193458</v>
      </c>
      <c r="H126" s="1627">
        <f t="shared" si="65"/>
        <v>-115155.51938076899</v>
      </c>
      <c r="I126" s="1627">
        <f t="shared" si="66"/>
        <v>-88257.116875142179</v>
      </c>
      <c r="J126" s="1638">
        <f t="shared" si="67"/>
        <v>-62636.972636003069</v>
      </c>
      <c r="K126" s="915"/>
      <c r="L126" s="937"/>
      <c r="M126" s="938"/>
      <c r="N126" s="915"/>
      <c r="O126" s="915"/>
      <c r="P126" s="903"/>
      <c r="Q126" s="915"/>
      <c r="R126" s="915"/>
      <c r="S126" s="915"/>
      <c r="T126" s="903"/>
      <c r="U126" s="939"/>
      <c r="V126" s="939"/>
      <c r="W126" s="939"/>
      <c r="X126" s="903"/>
      <c r="Y126" s="903"/>
    </row>
    <row r="127" spans="2:25" ht="12" x14ac:dyDescent="0.25">
      <c r="B127" s="931">
        <f t="shared" si="68"/>
        <v>10</v>
      </c>
      <c r="C127" s="1620">
        <f t="shared" si="69"/>
        <v>2026</v>
      </c>
      <c r="D127" s="1627">
        <f>-Emission.Costs!L367</f>
        <v>-3615.861965788471</v>
      </c>
      <c r="E127" s="1627">
        <f>-Emission.Costs!O367</f>
        <v>-71362.249418556865</v>
      </c>
      <c r="F127" s="1627">
        <f>-Emission.Costs!R367</f>
        <v>-46887.349102507214</v>
      </c>
      <c r="G127" s="1627">
        <f>-Emission.Costs!U367</f>
        <v>-2397.8392343817641</v>
      </c>
      <c r="H127" s="1627">
        <f t="shared" si="65"/>
        <v>-124263.29972123432</v>
      </c>
      <c r="I127" s="1627">
        <f t="shared" si="66"/>
        <v>-92463.565167558379</v>
      </c>
      <c r="J127" s="1638">
        <f t="shared" si="67"/>
        <v>-63169.160451613738</v>
      </c>
      <c r="K127" s="915"/>
      <c r="L127" s="937"/>
      <c r="M127" s="938"/>
      <c r="N127" s="915"/>
      <c r="O127" s="915"/>
      <c r="P127" s="903"/>
      <c r="Q127" s="915"/>
      <c r="R127" s="915"/>
      <c r="S127" s="915"/>
      <c r="T127" s="903"/>
      <c r="U127" s="939"/>
      <c r="V127" s="939"/>
      <c r="W127" s="939"/>
      <c r="X127" s="903"/>
      <c r="Y127" s="903"/>
    </row>
    <row r="128" spans="2:25" ht="12" x14ac:dyDescent="0.25">
      <c r="B128" s="931">
        <f t="shared" si="68"/>
        <v>11</v>
      </c>
      <c r="C128" s="1620">
        <f t="shared" si="69"/>
        <v>2027</v>
      </c>
      <c r="D128" s="1627">
        <f>-Emission.Costs!L368</f>
        <v>-3789.2218533858158</v>
      </c>
      <c r="E128" s="1627">
        <f>-Emission.Costs!O368</f>
        <v>-75056.390220830042</v>
      </c>
      <c r="F128" s="1627">
        <f>-Emission.Costs!R368</f>
        <v>-53410.519014033373</v>
      </c>
      <c r="G128" s="1627">
        <f>-Emission.Costs!U368</f>
        <v>-4569.4318333305728</v>
      </c>
      <c r="H128" s="1627">
        <f t="shared" si="65"/>
        <v>-136825.56292157978</v>
      </c>
      <c r="I128" s="1627">
        <f t="shared" si="66"/>
        <v>-98845.697837151936</v>
      </c>
      <c r="J128" s="1638">
        <f t="shared" si="67"/>
        <v>-65004.839305719033</v>
      </c>
      <c r="K128" s="915"/>
      <c r="L128" s="937"/>
      <c r="M128" s="938"/>
      <c r="N128" s="915"/>
      <c r="O128" s="915"/>
      <c r="P128" s="903"/>
      <c r="Q128" s="915"/>
      <c r="R128" s="915"/>
      <c r="S128" s="915"/>
      <c r="T128" s="903"/>
      <c r="U128" s="939"/>
      <c r="V128" s="939"/>
      <c r="W128" s="939"/>
      <c r="X128" s="903"/>
      <c r="Y128" s="903"/>
    </row>
    <row r="129" spans="2:25" ht="12" x14ac:dyDescent="0.25">
      <c r="B129" s="931">
        <f t="shared" si="68"/>
        <v>12</v>
      </c>
      <c r="C129" s="1620">
        <f t="shared" si="69"/>
        <v>2028</v>
      </c>
      <c r="D129" s="1627">
        <f>-Emission.Costs!L369</f>
        <v>-5259.6622264786638</v>
      </c>
      <c r="E129" s="1627">
        <f>-Emission.Costs!O369</f>
        <v>-58459.495164684107</v>
      </c>
      <c r="F129" s="1627">
        <f>-Emission.Costs!R369</f>
        <v>-129787.68161829544</v>
      </c>
      <c r="G129" s="1627">
        <f>-Emission.Costs!U369</f>
        <v>-5931.0647973030509</v>
      </c>
      <c r="H129" s="1627">
        <f t="shared" si="65"/>
        <v>-199437.90380676126</v>
      </c>
      <c r="I129" s="1627">
        <f t="shared" si="66"/>
        <v>-139881.73307792391</v>
      </c>
      <c r="J129" s="1638">
        <f t="shared" si="67"/>
        <v>-88552.814416105364</v>
      </c>
      <c r="K129" s="915"/>
      <c r="L129" s="937"/>
      <c r="M129" s="938"/>
      <c r="N129" s="915"/>
      <c r="O129" s="915"/>
      <c r="P129" s="903"/>
      <c r="Q129" s="915"/>
      <c r="R129" s="915"/>
      <c r="S129" s="915"/>
      <c r="T129" s="903"/>
      <c r="U129" s="939"/>
      <c r="V129" s="939"/>
      <c r="W129" s="939"/>
      <c r="X129" s="903"/>
      <c r="Y129" s="903"/>
    </row>
    <row r="130" spans="2:25" ht="12" x14ac:dyDescent="0.25">
      <c r="B130" s="931">
        <f t="shared" si="68"/>
        <v>13</v>
      </c>
      <c r="C130" s="1620">
        <f t="shared" si="69"/>
        <v>2029</v>
      </c>
      <c r="D130" s="1627">
        <f>-Emission.Costs!L370</f>
        <v>-3666.5943073780013</v>
      </c>
      <c r="E130" s="1627">
        <f>-Emission.Costs!O370</f>
        <v>-75071.110247095668</v>
      </c>
      <c r="F130" s="1627">
        <f>-Emission.Costs!R370</f>
        <v>-31930.022250308306</v>
      </c>
      <c r="G130" s="1627">
        <f>-Emission.Costs!U370</f>
        <v>-962.00810172532692</v>
      </c>
      <c r="H130" s="1627">
        <f t="shared" si="65"/>
        <v>-111629.73490650731</v>
      </c>
      <c r="I130" s="1627">
        <f t="shared" si="66"/>
        <v>-76014.41756766937</v>
      </c>
      <c r="J130" s="1638">
        <f t="shared" si="67"/>
        <v>-46322.37131342262</v>
      </c>
      <c r="K130" s="915"/>
      <c r="L130" s="937"/>
      <c r="M130" s="938"/>
      <c r="N130" s="915"/>
      <c r="O130" s="915"/>
      <c r="P130" s="903"/>
      <c r="Q130" s="915"/>
      <c r="R130" s="915"/>
      <c r="S130" s="915"/>
      <c r="T130" s="903"/>
      <c r="U130" s="939"/>
      <c r="V130" s="939"/>
      <c r="W130" s="939"/>
      <c r="X130" s="903"/>
      <c r="Y130" s="903"/>
    </row>
    <row r="131" spans="2:25" ht="12" x14ac:dyDescent="0.25">
      <c r="B131" s="931">
        <f t="shared" si="68"/>
        <v>14</v>
      </c>
      <c r="C131" s="1620">
        <f t="shared" si="69"/>
        <v>2030</v>
      </c>
      <c r="D131" s="1627">
        <f>-Emission.Costs!L371</f>
        <v>-3853.153954728703</v>
      </c>
      <c r="E131" s="1627">
        <f>-Emission.Costs!O371</f>
        <v>-79039.201357933402</v>
      </c>
      <c r="F131" s="1627">
        <f>-Emission.Costs!R371</f>
        <v>-39191.753006957879</v>
      </c>
      <c r="G131" s="1627">
        <f>-Emission.Costs!U371</f>
        <v>-1547.8003803460997</v>
      </c>
      <c r="H131" s="1627">
        <f t="shared" si="65"/>
        <v>-123631.90869996609</v>
      </c>
      <c r="I131" s="1627">
        <f t="shared" si="66"/>
        <v>-81735.256208889448</v>
      </c>
      <c r="J131" s="1638">
        <f t="shared" si="67"/>
        <v>-47946.585733726657</v>
      </c>
      <c r="K131" s="915"/>
      <c r="L131" s="937"/>
      <c r="M131" s="938"/>
      <c r="N131" s="915"/>
      <c r="O131" s="915"/>
      <c r="P131" s="903"/>
      <c r="Q131" s="915"/>
      <c r="R131" s="915"/>
      <c r="S131" s="915"/>
      <c r="T131" s="903"/>
      <c r="U131" s="939"/>
      <c r="V131" s="939"/>
      <c r="W131" s="939"/>
      <c r="X131" s="903"/>
      <c r="Y131" s="903"/>
    </row>
    <row r="132" spans="2:25" ht="12" x14ac:dyDescent="0.25">
      <c r="B132" s="931">
        <f t="shared" si="68"/>
        <v>15</v>
      </c>
      <c r="C132" s="1620">
        <f t="shared" si="69"/>
        <v>2031</v>
      </c>
      <c r="D132" s="1627">
        <f>-Emission.Costs!L372</f>
        <v>-4043.2301429219274</v>
      </c>
      <c r="E132" s="1627">
        <f>-Emission.Costs!O372</f>
        <v>-83103.015778162415</v>
      </c>
      <c r="F132" s="1627">
        <f>-Emission.Costs!R372</f>
        <v>-46612.49225826771</v>
      </c>
      <c r="G132" s="1627">
        <f>-Emission.Costs!U372</f>
        <v>-2148.902476819504</v>
      </c>
      <c r="H132" s="1627">
        <f t="shared" si="65"/>
        <v>-135907.64065617154</v>
      </c>
      <c r="I132" s="1627">
        <f t="shared" si="66"/>
        <v>-87233.942897663583</v>
      </c>
      <c r="J132" s="1638">
        <f t="shared" si="67"/>
        <v>-49259.18339481351</v>
      </c>
      <c r="K132" s="915"/>
      <c r="L132" s="937"/>
      <c r="M132" s="938"/>
      <c r="N132" s="915"/>
      <c r="O132" s="915"/>
      <c r="P132" s="903"/>
      <c r="Q132" s="915"/>
      <c r="R132" s="915"/>
      <c r="S132" s="915"/>
      <c r="T132" s="903"/>
      <c r="U132" s="939"/>
      <c r="V132" s="939"/>
      <c r="W132" s="939"/>
      <c r="X132" s="903"/>
      <c r="Y132" s="903"/>
    </row>
    <row r="133" spans="2:25" ht="12" x14ac:dyDescent="0.25">
      <c r="B133" s="931">
        <f t="shared" si="68"/>
        <v>16</v>
      </c>
      <c r="C133" s="1620">
        <f t="shared" si="69"/>
        <v>2032</v>
      </c>
      <c r="D133" s="1627">
        <f>-Emission.Costs!L373</f>
        <v>-4236.8887100944685</v>
      </c>
      <c r="E133" s="1627">
        <f>-Emission.Costs!O373</f>
        <v>-87264.675087787604</v>
      </c>
      <c r="F133" s="1627">
        <f>-Emission.Costs!R373</f>
        <v>-54195.489149666653</v>
      </c>
      <c r="G133" s="1627">
        <f>-Emission.Costs!U373</f>
        <v>-2765.6621695007962</v>
      </c>
      <c r="H133" s="1627">
        <f t="shared" si="65"/>
        <v>-148462.71511704955</v>
      </c>
      <c r="I133" s="1627">
        <f t="shared" si="66"/>
        <v>-92517.055767799568</v>
      </c>
      <c r="J133" s="1638">
        <f t="shared" si="67"/>
        <v>-50289.458092964669</v>
      </c>
      <c r="K133" s="915"/>
      <c r="L133" s="937"/>
      <c r="M133" s="938"/>
      <c r="N133" s="915"/>
      <c r="O133" s="915"/>
      <c r="P133" s="903"/>
      <c r="Q133" s="915"/>
      <c r="R133" s="915"/>
      <c r="S133" s="915"/>
      <c r="T133" s="903"/>
      <c r="U133" s="939"/>
      <c r="V133" s="939"/>
      <c r="W133" s="939"/>
      <c r="X133" s="903"/>
      <c r="Y133" s="903"/>
    </row>
    <row r="134" spans="2:25" ht="12" x14ac:dyDescent="0.25">
      <c r="B134" s="931">
        <f t="shared" si="68"/>
        <v>17</v>
      </c>
      <c r="C134" s="1620">
        <f t="shared" si="69"/>
        <v>2033</v>
      </c>
      <c r="D134" s="1627">
        <f>-Emission.Costs!L374</f>
        <v>-4434.1967717119151</v>
      </c>
      <c r="E134" s="1627">
        <f>-Emission.Costs!O374</f>
        <v>-91526.347424043008</v>
      </c>
      <c r="F134" s="1627">
        <f>-Emission.Costs!R374</f>
        <v>-61944.05978311105</v>
      </c>
      <c r="G134" s="1627">
        <f>-Emission.Costs!U374</f>
        <v>-3398.4349406194824</v>
      </c>
      <c r="H134" s="1627">
        <f t="shared" si="65"/>
        <v>-161303.03891948544</v>
      </c>
      <c r="I134" s="1627">
        <f t="shared" si="66"/>
        <v>-97590.991311027887</v>
      </c>
      <c r="J134" s="1638">
        <f t="shared" si="67"/>
        <v>-51064.411225944743</v>
      </c>
      <c r="K134" s="915"/>
      <c r="L134" s="937"/>
      <c r="M134" s="938"/>
      <c r="N134" s="915"/>
      <c r="O134" s="915"/>
      <c r="P134" s="903"/>
      <c r="Q134" s="915"/>
      <c r="R134" s="915"/>
      <c r="S134" s="915"/>
      <c r="T134" s="903"/>
      <c r="U134" s="939"/>
      <c r="V134" s="939"/>
      <c r="W134" s="939"/>
      <c r="X134" s="903"/>
      <c r="Y134" s="903"/>
    </row>
    <row r="135" spans="2:25" ht="12" x14ac:dyDescent="0.25">
      <c r="B135" s="931">
        <f t="shared" si="68"/>
        <v>18</v>
      </c>
      <c r="C135" s="1620">
        <f t="shared" si="69"/>
        <v>2034</v>
      </c>
      <c r="D135" s="1627">
        <f>-Emission.Costs!L375</f>
        <v>610.61722024345897</v>
      </c>
      <c r="E135" s="1627">
        <f>-Emission.Costs!O375</f>
        <v>-99280.966065513916</v>
      </c>
      <c r="F135" s="1627">
        <f>-Emission.Costs!R375</f>
        <v>179855.19777863557</v>
      </c>
      <c r="G135" s="1627">
        <f>-Emission.Costs!U375</f>
        <v>319.02437446662361</v>
      </c>
      <c r="H135" s="1627">
        <f t="shared" si="65"/>
        <v>81503.873307831731</v>
      </c>
      <c r="I135" s="1627">
        <f t="shared" si="66"/>
        <v>47874.935680861039</v>
      </c>
      <c r="J135" s="1638">
        <f t="shared" si="67"/>
        <v>24114.055152234476</v>
      </c>
      <c r="K135" s="915"/>
      <c r="L135" s="937"/>
      <c r="M135" s="938"/>
      <c r="N135" s="915"/>
      <c r="O135" s="915"/>
      <c r="P135" s="903"/>
      <c r="Q135" s="915"/>
      <c r="R135" s="915"/>
      <c r="S135" s="915"/>
      <c r="T135" s="903"/>
      <c r="U135" s="939"/>
      <c r="V135" s="939"/>
      <c r="W135" s="939"/>
      <c r="X135" s="903"/>
      <c r="Y135" s="903"/>
    </row>
    <row r="136" spans="2:25" ht="12" x14ac:dyDescent="0.25">
      <c r="B136" s="931">
        <f t="shared" si="68"/>
        <v>19</v>
      </c>
      <c r="C136" s="1620">
        <f t="shared" si="69"/>
        <v>2035</v>
      </c>
      <c r="D136" s="1627">
        <f>-Emission.Costs!L376</f>
        <v>439.02119842325294</v>
      </c>
      <c r="E136" s="1627">
        <f>-Emission.Costs!O376</f>
        <v>-103768.12079607185</v>
      </c>
      <c r="F136" s="1627">
        <f>-Emission.Costs!R376</f>
        <v>173352.29848238084</v>
      </c>
      <c r="G136" s="1627">
        <f>-Emission.Costs!U376</f>
        <v>-319.18324839198885</v>
      </c>
      <c r="H136" s="1627">
        <f t="shared" si="65"/>
        <v>69704.015636340264</v>
      </c>
      <c r="I136" s="1627">
        <f t="shared" si="66"/>
        <v>39751.226130084782</v>
      </c>
      <c r="J136" s="1638">
        <f t="shared" si="67"/>
        <v>19273.741167765937</v>
      </c>
      <c r="K136" s="915"/>
      <c r="L136" s="937"/>
      <c r="M136" s="938"/>
      <c r="N136" s="915"/>
      <c r="O136" s="915"/>
      <c r="P136" s="903"/>
      <c r="Q136" s="915"/>
      <c r="R136" s="915"/>
      <c r="S136" s="915"/>
      <c r="T136" s="903"/>
      <c r="U136" s="939"/>
      <c r="V136" s="939"/>
      <c r="W136" s="939"/>
      <c r="X136" s="903"/>
      <c r="Y136" s="903"/>
    </row>
    <row r="137" spans="2:25" ht="12" x14ac:dyDescent="0.25">
      <c r="B137" s="931">
        <f t="shared" si="68"/>
        <v>20</v>
      </c>
      <c r="C137" s="1620">
        <f t="shared" si="69"/>
        <v>2036</v>
      </c>
      <c r="D137" s="1627">
        <f>-Emission.Costs!L377</f>
        <v>263.83074802501221</v>
      </c>
      <c r="E137" s="1627">
        <f>-Emission.Costs!O377</f>
        <v>-108362.34524835387</v>
      </c>
      <c r="F137" s="1627">
        <f>-Emission.Costs!R377</f>
        <v>166685.8484744702</v>
      </c>
      <c r="G137" s="1627">
        <f>-Emission.Costs!U377</f>
        <v>-974.29964050302624</v>
      </c>
      <c r="H137" s="1627">
        <f t="shared" si="65"/>
        <v>57613.034333638308</v>
      </c>
      <c r="I137" s="1627">
        <f t="shared" si="66"/>
        <v>31898.940235640403</v>
      </c>
      <c r="J137" s="1638">
        <f t="shared" si="67"/>
        <v>14888.302881579992</v>
      </c>
      <c r="K137" s="915"/>
      <c r="L137" s="937"/>
      <c r="M137" s="938"/>
      <c r="N137" s="915"/>
      <c r="O137" s="915"/>
      <c r="P137" s="903"/>
      <c r="Q137" s="915"/>
      <c r="R137" s="915"/>
      <c r="S137" s="915"/>
      <c r="T137" s="903"/>
      <c r="U137" s="939"/>
      <c r="V137" s="939"/>
      <c r="W137" s="939"/>
      <c r="X137" s="903"/>
      <c r="Y137" s="903"/>
    </row>
    <row r="138" spans="2:25" ht="12" x14ac:dyDescent="0.25">
      <c r="B138" s="931">
        <f t="shared" si="68"/>
        <v>21</v>
      </c>
      <c r="C138" s="1620">
        <f t="shared" si="69"/>
        <v>2037</v>
      </c>
      <c r="D138" s="1627">
        <f>-Emission.Costs!L378</f>
        <v>-1434.5380824652077</v>
      </c>
      <c r="E138" s="1627">
        <f>-Emission.Costs!O378</f>
        <v>-81826.064284428227</v>
      </c>
      <c r="F138" s="1627">
        <f>-Emission.Costs!R378</f>
        <v>93132.199117247495</v>
      </c>
      <c r="G138" s="1627">
        <f>-Emission.Costs!U378</f>
        <v>-2526.4057831900836</v>
      </c>
      <c r="H138" s="1627">
        <f t="shared" si="65"/>
        <v>7345.190967163976</v>
      </c>
      <c r="I138" s="1627">
        <f t="shared" si="66"/>
        <v>3948.4020858127865</v>
      </c>
      <c r="J138" s="1638">
        <f t="shared" si="67"/>
        <v>1773.9597431887387</v>
      </c>
      <c r="K138" s="915"/>
      <c r="L138" s="937"/>
      <c r="M138" s="938"/>
      <c r="N138" s="915"/>
      <c r="O138" s="915"/>
      <c r="P138" s="903"/>
      <c r="Q138" s="915"/>
      <c r="R138" s="915"/>
      <c r="S138" s="915"/>
      <c r="T138" s="903"/>
      <c r="U138" s="939"/>
      <c r="V138" s="939"/>
      <c r="W138" s="939"/>
      <c r="X138" s="903"/>
      <c r="Y138" s="903"/>
    </row>
    <row r="139" spans="2:25" ht="12" x14ac:dyDescent="0.25">
      <c r="B139" s="931">
        <f t="shared" si="68"/>
        <v>22</v>
      </c>
      <c r="C139" s="1620">
        <f t="shared" si="69"/>
        <v>2038</v>
      </c>
      <c r="D139" s="1627">
        <f>-Emission.Costs!L379</f>
        <v>-1629.8425440837832</v>
      </c>
      <c r="E139" s="1627">
        <f>-Emission.Costs!O379</f>
        <v>-86380.219396861517</v>
      </c>
      <c r="F139" s="1627">
        <f>-Emission.Costs!R379</f>
        <v>85569.873564005524</v>
      </c>
      <c r="G139" s="1627">
        <f>-Emission.Costs!U379</f>
        <v>-3223.8669240217878</v>
      </c>
      <c r="H139" s="1627">
        <f t="shared" si="65"/>
        <v>-5664.0553009615705</v>
      </c>
      <c r="I139" s="1627">
        <f t="shared" si="66"/>
        <v>-2956.0279861560998</v>
      </c>
      <c r="J139" s="1638">
        <f t="shared" si="67"/>
        <v>-1278.4518497310646</v>
      </c>
      <c r="K139" s="915"/>
      <c r="L139" s="937"/>
      <c r="M139" s="938"/>
      <c r="N139" s="915"/>
      <c r="O139" s="915"/>
      <c r="P139" s="903"/>
      <c r="Q139" s="915"/>
      <c r="R139" s="915"/>
      <c r="S139" s="915"/>
      <c r="T139" s="903"/>
      <c r="U139" s="939"/>
      <c r="V139" s="939"/>
      <c r="W139" s="939"/>
      <c r="X139" s="903"/>
      <c r="Y139" s="903"/>
    </row>
    <row r="140" spans="2:25" ht="12" x14ac:dyDescent="0.25">
      <c r="B140" s="931">
        <f t="shared" si="68"/>
        <v>23</v>
      </c>
      <c r="C140" s="1620">
        <f t="shared" si="69"/>
        <v>2039</v>
      </c>
      <c r="D140" s="1627">
        <f>-Emission.Costs!L380</f>
        <v>-1829.0806762271586</v>
      </c>
      <c r="E140" s="1627">
        <f>-Emission.Costs!O380</f>
        <v>-91046.154416160512</v>
      </c>
      <c r="F140" s="1627">
        <f>-Emission.Costs!R380</f>
        <v>77827.831651746164</v>
      </c>
      <c r="G140" s="1627">
        <f>-Emission.Costs!U380</f>
        <v>-3939.4933826735505</v>
      </c>
      <c r="H140" s="1627">
        <f t="shared" si="65"/>
        <v>-18986.896823315052</v>
      </c>
      <c r="I140" s="1627">
        <f t="shared" si="66"/>
        <v>-9620.5039486597179</v>
      </c>
      <c r="J140" s="1638">
        <f t="shared" si="67"/>
        <v>-4005.2267092754187</v>
      </c>
      <c r="K140" s="915"/>
      <c r="L140" s="937"/>
      <c r="M140" s="938"/>
      <c r="N140" s="915"/>
      <c r="O140" s="915"/>
      <c r="P140" s="903"/>
      <c r="Q140" s="915"/>
      <c r="R140" s="915"/>
      <c r="S140" s="915"/>
      <c r="T140" s="903"/>
      <c r="U140" s="939"/>
      <c r="V140" s="939"/>
      <c r="W140" s="939"/>
      <c r="X140" s="903"/>
      <c r="Y140" s="903"/>
    </row>
    <row r="141" spans="2:25" ht="12" x14ac:dyDescent="0.25">
      <c r="B141" s="931">
        <f t="shared" si="68"/>
        <v>24</v>
      </c>
      <c r="C141" s="1620">
        <f t="shared" si="69"/>
        <v>2040</v>
      </c>
      <c r="D141" s="1627">
        <f>-Emission.Costs!L381</f>
        <v>-1185.9184515199988</v>
      </c>
      <c r="E141" s="1627">
        <f>-Emission.Costs!O381</f>
        <v>-69214.621369589149</v>
      </c>
      <c r="F141" s="1627">
        <f>-Emission.Costs!R381</f>
        <v>117149.3083088237</v>
      </c>
      <c r="G141" s="1627">
        <f>-Emission.Costs!U381</f>
        <v>-2009.039785647552</v>
      </c>
      <c r="H141" s="1627">
        <f t="shared" si="65"/>
        <v>44739.728702066997</v>
      </c>
      <c r="I141" s="1627">
        <f t="shared" si="66"/>
        <v>22008.981903223808</v>
      </c>
      <c r="J141" s="1638">
        <f t="shared" si="67"/>
        <v>8820.2862910386593</v>
      </c>
      <c r="K141" s="915"/>
      <c r="L141" s="937"/>
      <c r="M141" s="938"/>
      <c r="N141" s="915"/>
      <c r="O141" s="915"/>
      <c r="P141" s="903"/>
      <c r="Q141" s="915"/>
      <c r="R141" s="915"/>
      <c r="S141" s="915"/>
      <c r="T141" s="903"/>
      <c r="U141" s="939"/>
      <c r="V141" s="939"/>
      <c r="W141" s="939"/>
      <c r="X141" s="903"/>
      <c r="Y141" s="903"/>
    </row>
    <row r="142" spans="2:25" ht="12" x14ac:dyDescent="0.25">
      <c r="B142" s="931">
        <f t="shared" si="68"/>
        <v>25</v>
      </c>
      <c r="C142" s="1620">
        <f t="shared" si="69"/>
        <v>2041</v>
      </c>
      <c r="D142" s="1627">
        <f>-Emission.Costs!L382</f>
        <v>7219.3647825238186</v>
      </c>
      <c r="E142" s="1627">
        <f>-Emission.Costs!O382</f>
        <v>-90537.842490609517</v>
      </c>
      <c r="F142" s="1627">
        <f>-Emission.Costs!R382</f>
        <v>451335.9126552692</v>
      </c>
      <c r="G142" s="1627">
        <f>-Emission.Costs!U382</f>
        <v>3155.8028133225394</v>
      </c>
      <c r="H142" s="1627">
        <f t="shared" si="65"/>
        <v>371173.23776050599</v>
      </c>
      <c r="I142" s="1627">
        <f t="shared" si="66"/>
        <v>177274.40551529982</v>
      </c>
      <c r="J142" s="1638">
        <f t="shared" si="67"/>
        <v>68388.363775639911</v>
      </c>
      <c r="K142" s="915"/>
      <c r="L142" s="937"/>
      <c r="M142" s="938"/>
      <c r="N142" s="915"/>
      <c r="O142" s="915"/>
      <c r="P142" s="903"/>
      <c r="Q142" s="915"/>
      <c r="R142" s="915"/>
      <c r="S142" s="915"/>
      <c r="T142" s="903"/>
      <c r="U142" s="939"/>
      <c r="V142" s="939"/>
      <c r="W142" s="939"/>
      <c r="X142" s="903"/>
      <c r="Y142" s="903"/>
    </row>
    <row r="143" spans="2:25" ht="12" x14ac:dyDescent="0.25">
      <c r="B143" s="931">
        <f t="shared" si="68"/>
        <v>26</v>
      </c>
      <c r="C143" s="1620">
        <f t="shared" si="69"/>
        <v>2042</v>
      </c>
      <c r="D143" s="1627">
        <f>-Emission.Costs!L383</f>
        <v>7061.7409496501004</v>
      </c>
      <c r="E143" s="1627">
        <f>-Emission.Costs!O383</f>
        <v>-95658.981487423473</v>
      </c>
      <c r="F143" s="1627">
        <f>-Emission.Costs!R383</f>
        <v>444852.18481841782</v>
      </c>
      <c r="G143" s="1627">
        <f>-Emission.Costs!U383</f>
        <v>2424.2858960441417</v>
      </c>
      <c r="H143" s="1627">
        <f t="shared" si="65"/>
        <v>358679.23017668864</v>
      </c>
      <c r="I143" s="1627">
        <f t="shared" si="66"/>
        <v>166317.66787463223</v>
      </c>
      <c r="J143" s="1638">
        <f t="shared" si="67"/>
        <v>61762.946873238267</v>
      </c>
      <c r="K143" s="915"/>
      <c r="L143" s="937"/>
      <c r="M143" s="938"/>
      <c r="N143" s="915"/>
      <c r="O143" s="915"/>
      <c r="P143" s="903"/>
      <c r="Q143" s="915"/>
      <c r="R143" s="915"/>
      <c r="S143" s="915"/>
      <c r="T143" s="903"/>
      <c r="U143" s="939"/>
      <c r="V143" s="939"/>
      <c r="W143" s="939"/>
      <c r="X143" s="903"/>
      <c r="Y143" s="903"/>
    </row>
    <row r="144" spans="2:25" ht="12" x14ac:dyDescent="0.25">
      <c r="B144" s="931">
        <f t="shared" si="68"/>
        <v>27</v>
      </c>
      <c r="C144" s="1620">
        <f t="shared" si="69"/>
        <v>2043</v>
      </c>
      <c r="D144" s="1627">
        <f>-Emission.Costs!L384</f>
        <v>6900.1666437576805</v>
      </c>
      <c r="E144" s="1627">
        <f>-Emission.Costs!O384</f>
        <v>-100906.85796577312</v>
      </c>
      <c r="F144" s="1627">
        <f>-Emission.Costs!R384</f>
        <v>438173.93156080972</v>
      </c>
      <c r="G144" s="1627">
        <f>-Emission.Costs!U384</f>
        <v>1672.918085818098</v>
      </c>
      <c r="H144" s="1627">
        <f t="shared" si="65"/>
        <v>345840.15832461242</v>
      </c>
      <c r="I144" s="1627">
        <f t="shared" si="66"/>
        <v>155693.45432196156</v>
      </c>
      <c r="J144" s="1638">
        <f t="shared" si="67"/>
        <v>55656.183706411866</v>
      </c>
      <c r="K144" s="915"/>
      <c r="L144" s="937"/>
      <c r="M144" s="938"/>
      <c r="N144" s="915"/>
      <c r="O144" s="915"/>
      <c r="P144" s="903"/>
      <c r="Q144" s="915"/>
      <c r="R144" s="915"/>
      <c r="S144" s="915"/>
      <c r="T144" s="903"/>
      <c r="U144" s="939"/>
      <c r="V144" s="939"/>
      <c r="W144" s="939"/>
      <c r="X144" s="903"/>
      <c r="Y144" s="903"/>
    </row>
    <row r="145" spans="2:25" ht="12.75" thickBot="1" x14ac:dyDescent="0.3">
      <c r="B145" s="917" t="s">
        <v>314</v>
      </c>
      <c r="C145" s="1460"/>
      <c r="D145" s="1637">
        <f>SUM(D124:D144)</f>
        <v>-85968.546545774501</v>
      </c>
      <c r="E145" s="1637">
        <f t="shared" ref="E145:H145" si="70">SUM(E124:E144)</f>
        <v>1213047.4885982142</v>
      </c>
      <c r="F145" s="1637">
        <f t="shared" si="70"/>
        <v>2446833.2215250595</v>
      </c>
      <c r="G145" s="1637">
        <f t="shared" si="70"/>
        <v>-88302.695618935875</v>
      </c>
      <c r="H145" s="1637">
        <f t="shared" si="70"/>
        <v>3485609.4679585625</v>
      </c>
      <c r="I145" s="1634">
        <f>SUM(I124:I144)</f>
        <v>2520764.9621138466</v>
      </c>
      <c r="J145" s="1629">
        <f>SUM(J124:J144)</f>
        <v>1782189.6116655997</v>
      </c>
      <c r="K145" s="918"/>
      <c r="L145" s="903"/>
      <c r="M145" s="938"/>
      <c r="N145" s="918"/>
      <c r="O145" s="918"/>
      <c r="P145" s="903"/>
      <c r="Q145" s="918"/>
      <c r="R145" s="918"/>
      <c r="S145" s="918"/>
      <c r="T145" s="903"/>
      <c r="U145" s="918"/>
      <c r="V145" s="918"/>
      <c r="W145" s="918"/>
      <c r="X145" s="903"/>
      <c r="Y145" s="903"/>
    </row>
    <row r="146" spans="2:25" ht="12" x14ac:dyDescent="0.25">
      <c r="B146" s="905" t="s">
        <v>338</v>
      </c>
      <c r="L146" s="903"/>
      <c r="M146" s="903"/>
      <c r="N146" s="903"/>
      <c r="O146" s="903"/>
      <c r="P146" s="903"/>
      <c r="Q146" s="903"/>
      <c r="R146" s="903"/>
      <c r="S146" s="903"/>
      <c r="T146" s="903"/>
      <c r="U146" s="903"/>
      <c r="V146" s="903"/>
      <c r="W146" s="903"/>
      <c r="X146" s="903"/>
      <c r="Y146" s="903"/>
    </row>
    <row r="147" spans="2:25" ht="16.5" thickBot="1" x14ac:dyDescent="0.3">
      <c r="B147" s="1790" t="s">
        <v>707</v>
      </c>
      <c r="C147" s="1790"/>
      <c r="D147" s="1790"/>
      <c r="E147" s="1790"/>
      <c r="F147" s="1790"/>
      <c r="G147" s="919"/>
      <c r="H147" s="945" t="s">
        <v>918</v>
      </c>
      <c r="I147" s="945"/>
      <c r="J147" s="945"/>
      <c r="K147" s="945"/>
      <c r="L147" s="945"/>
      <c r="M147" s="919"/>
    </row>
    <row r="148" spans="2:25" ht="12" x14ac:dyDescent="0.25">
      <c r="B148" s="907" t="s">
        <v>182</v>
      </c>
      <c r="C148" s="928" t="s">
        <v>180</v>
      </c>
      <c r="D148" s="928" t="s">
        <v>178</v>
      </c>
      <c r="E148" s="928" t="s">
        <v>268</v>
      </c>
      <c r="F148" s="908" t="s">
        <v>269</v>
      </c>
      <c r="G148" s="934"/>
      <c r="H148" s="907" t="s">
        <v>182</v>
      </c>
      <c r="I148" s="928" t="s">
        <v>180</v>
      </c>
      <c r="J148" s="928" t="s">
        <v>178</v>
      </c>
      <c r="K148" s="928" t="s">
        <v>268</v>
      </c>
      <c r="L148" s="908" t="s">
        <v>269</v>
      </c>
      <c r="M148" s="910"/>
    </row>
    <row r="149" spans="2:25" ht="26.25" customHeight="1" x14ac:dyDescent="0.3">
      <c r="B149" s="1782" t="s">
        <v>7</v>
      </c>
      <c r="C149" s="1783" t="s">
        <v>275</v>
      </c>
      <c r="D149" s="1784" t="s">
        <v>602</v>
      </c>
      <c r="E149" s="1785" t="s">
        <v>765</v>
      </c>
      <c r="F149" s="1786"/>
      <c r="G149" s="911"/>
      <c r="H149" s="1782" t="s">
        <v>7</v>
      </c>
      <c r="I149" s="1783" t="s">
        <v>275</v>
      </c>
      <c r="J149" s="1784" t="s">
        <v>919</v>
      </c>
      <c r="K149" s="1785" t="s">
        <v>920</v>
      </c>
      <c r="L149" s="1786"/>
      <c r="M149" s="903"/>
    </row>
    <row r="150" spans="2:25" ht="12" x14ac:dyDescent="0.3">
      <c r="B150" s="1782"/>
      <c r="C150" s="1783"/>
      <c r="D150" s="1784"/>
      <c r="E150" s="1630">
        <f>3/100</f>
        <v>0.03</v>
      </c>
      <c r="F150" s="912">
        <f>7/100</f>
        <v>7.0000000000000007E-2</v>
      </c>
      <c r="G150" s="913"/>
      <c r="H150" s="1782"/>
      <c r="I150" s="1783"/>
      <c r="J150" s="1784"/>
      <c r="K150" s="1630">
        <f>3/100</f>
        <v>0.03</v>
      </c>
      <c r="L150" s="912">
        <f>7/100</f>
        <v>7.0000000000000007E-2</v>
      </c>
      <c r="M150" s="903"/>
    </row>
    <row r="151" spans="2:25" ht="24" x14ac:dyDescent="0.3">
      <c r="B151" s="1782"/>
      <c r="C151" s="1783"/>
      <c r="D151" s="1784"/>
      <c r="E151" s="1622" t="s">
        <v>377</v>
      </c>
      <c r="F151" s="1616" t="s">
        <v>378</v>
      </c>
      <c r="G151" s="913"/>
      <c r="H151" s="1782"/>
      <c r="I151" s="1783"/>
      <c r="J151" s="1784"/>
      <c r="K151" s="1622" t="s">
        <v>377</v>
      </c>
      <c r="L151" s="1616" t="s">
        <v>378</v>
      </c>
      <c r="M151" s="903"/>
    </row>
    <row r="152" spans="2:25" ht="12" x14ac:dyDescent="0.25">
      <c r="B152" s="931">
        <v>7</v>
      </c>
      <c r="C152" s="1620">
        <v>2023</v>
      </c>
      <c r="D152" s="1627">
        <f>-Safety.Costs!I80</f>
        <v>16657387.099250142</v>
      </c>
      <c r="E152" s="1627">
        <f t="shared" ref="E152:E172" si="71">D152/(1+$F$35)^B152</f>
        <v>13543980.051560581</v>
      </c>
      <c r="F152" s="1638">
        <f t="shared" ref="F152:F172" si="72">D152/(1+$G$35)^B152</f>
        <v>10373383.516529743</v>
      </c>
      <c r="G152" s="940"/>
      <c r="H152" s="931">
        <v>7</v>
      </c>
      <c r="I152" s="1620">
        <v>2023</v>
      </c>
      <c r="J152" s="1627">
        <f>-'Maritime Safety'!G40</f>
        <v>691243.87337760674</v>
      </c>
      <c r="K152" s="1627">
        <f t="shared" ref="K152:K172" si="73">J152/(1+$F$35)^H152</f>
        <v>562044.5257114321</v>
      </c>
      <c r="L152" s="1638">
        <f t="shared" ref="L152:L172" si="74">J152/(1+$G$35)^H152</f>
        <v>430471.94372520957</v>
      </c>
      <c r="M152" s="903"/>
    </row>
    <row r="153" spans="2:25" ht="12" x14ac:dyDescent="0.25">
      <c r="B153" s="931">
        <f>B152+1</f>
        <v>8</v>
      </c>
      <c r="C153" s="1620">
        <f>C152+1</f>
        <v>2024</v>
      </c>
      <c r="D153" s="1627">
        <f>-Safety.Costs!I81</f>
        <v>16491270.374111935</v>
      </c>
      <c r="E153" s="1627">
        <f t="shared" si="71"/>
        <v>13018361.118891796</v>
      </c>
      <c r="F153" s="1638">
        <f t="shared" si="72"/>
        <v>9598069.5035768338</v>
      </c>
      <c r="G153" s="940"/>
      <c r="H153" s="931">
        <f>H152+1</f>
        <v>8</v>
      </c>
      <c r="I153" s="1620">
        <f>I152+1</f>
        <v>2024</v>
      </c>
      <c r="J153" s="1627">
        <f>-'Maritime Safety'!G41</f>
        <v>694828.10086919437</v>
      </c>
      <c r="K153" s="1627">
        <f t="shared" si="73"/>
        <v>548503.71908695681</v>
      </c>
      <c r="L153" s="1638">
        <f t="shared" si="74"/>
        <v>404396.28081350605</v>
      </c>
      <c r="M153" s="903"/>
    </row>
    <row r="154" spans="2:25" ht="12" x14ac:dyDescent="0.25">
      <c r="B154" s="931">
        <f t="shared" ref="B154:B172" si="75">B153+1</f>
        <v>9</v>
      </c>
      <c r="C154" s="1620">
        <f t="shared" ref="C154:C172" si="76">C153+1</f>
        <v>2025</v>
      </c>
      <c r="D154" s="1627">
        <f>-Safety.Costs!I82</f>
        <v>16320771.637663953</v>
      </c>
      <c r="E154" s="1627">
        <f t="shared" si="71"/>
        <v>12508512.467864951</v>
      </c>
      <c r="F154" s="1638">
        <f t="shared" si="72"/>
        <v>8877418.3987357691</v>
      </c>
      <c r="G154" s="940"/>
      <c r="H154" s="931">
        <f t="shared" ref="H154:H172" si="77">H153+1</f>
        <v>9</v>
      </c>
      <c r="I154" s="1620">
        <f t="shared" ref="I154:I172" si="78">I153+1</f>
        <v>2025</v>
      </c>
      <c r="J154" s="1627">
        <f>-'Maritime Safety'!G42</f>
        <v>698430.91324407153</v>
      </c>
      <c r="K154" s="1627">
        <f t="shared" si="73"/>
        <v>535289.13829629647</v>
      </c>
      <c r="L154" s="1638">
        <f t="shared" si="74"/>
        <v>379900.14057731221</v>
      </c>
      <c r="M154" s="903"/>
    </row>
    <row r="155" spans="2:25" ht="12" x14ac:dyDescent="0.25">
      <c r="B155" s="931">
        <f t="shared" si="75"/>
        <v>10</v>
      </c>
      <c r="C155" s="1620">
        <f t="shared" si="76"/>
        <v>2026</v>
      </c>
      <c r="D155" s="1627">
        <f>-Safety.Costs!I83</f>
        <v>16145800.988387212</v>
      </c>
      <c r="E155" s="1627">
        <f t="shared" si="71"/>
        <v>12013992.266592456</v>
      </c>
      <c r="F155" s="1638">
        <f t="shared" si="72"/>
        <v>8207706.5033946661</v>
      </c>
      <c r="G155" s="940"/>
      <c r="H155" s="931">
        <f t="shared" si="77"/>
        <v>10</v>
      </c>
      <c r="I155" s="1620">
        <f t="shared" si="78"/>
        <v>2026</v>
      </c>
      <c r="J155" s="1627">
        <f>-'Maritime Safety'!G43</f>
        <v>702052.40686830005</v>
      </c>
      <c r="K155" s="1627">
        <f t="shared" si="73"/>
        <v>522392.92388930195</v>
      </c>
      <c r="L155" s="1638">
        <f t="shared" si="74"/>
        <v>356887.84407297522</v>
      </c>
      <c r="M155" s="903"/>
    </row>
    <row r="156" spans="2:25" ht="12" x14ac:dyDescent="0.25">
      <c r="B156" s="931">
        <f t="shared" si="75"/>
        <v>11</v>
      </c>
      <c r="C156" s="1620">
        <f t="shared" si="76"/>
        <v>2027</v>
      </c>
      <c r="D156" s="1627">
        <f>-Safety.Costs!I84</f>
        <v>15966266.740205504</v>
      </c>
      <c r="E156" s="1627">
        <f t="shared" si="71"/>
        <v>11534370.800975619</v>
      </c>
      <c r="F156" s="1638">
        <f t="shared" si="72"/>
        <v>7585458.3134743506</v>
      </c>
      <c r="G156" s="940"/>
      <c r="H156" s="931">
        <f t="shared" si="77"/>
        <v>11</v>
      </c>
      <c r="I156" s="1620">
        <f t="shared" si="78"/>
        <v>2027</v>
      </c>
      <c r="J156" s="1627">
        <f>-'Maritime Safety'!G44</f>
        <v>705692.67860761716</v>
      </c>
      <c r="K156" s="1627">
        <f t="shared" si="73"/>
        <v>509807.40576611488</v>
      </c>
      <c r="L156" s="1638">
        <f t="shared" si="74"/>
        <v>335269.50806993927</v>
      </c>
      <c r="M156" s="903"/>
    </row>
    <row r="157" spans="2:25" ht="12" x14ac:dyDescent="0.25">
      <c r="B157" s="931">
        <f t="shared" si="75"/>
        <v>12</v>
      </c>
      <c r="C157" s="1620">
        <f t="shared" si="76"/>
        <v>2028</v>
      </c>
      <c r="D157" s="1627">
        <f>-Safety.Costs!I85</f>
        <v>15782075.386166608</v>
      </c>
      <c r="E157" s="1627">
        <f t="shared" si="71"/>
        <v>11069230.143546008</v>
      </c>
      <c r="F157" s="1638">
        <f t="shared" si="72"/>
        <v>7007430.2130968198</v>
      </c>
      <c r="G157" s="940"/>
      <c r="H157" s="931">
        <f t="shared" si="77"/>
        <v>12</v>
      </c>
      <c r="I157" s="1620">
        <f t="shared" si="78"/>
        <v>2028</v>
      </c>
      <c r="J157" s="1627">
        <f>-'Maritime Safety'!G45</f>
        <v>709351.82583002711</v>
      </c>
      <c r="K157" s="1627">
        <f t="shared" si="73"/>
        <v>497525.09861533123</v>
      </c>
      <c r="L157" s="1638">
        <f t="shared" si="74"/>
        <v>314960.69397778314</v>
      </c>
      <c r="M157" s="903"/>
    </row>
    <row r="158" spans="2:25" ht="12" x14ac:dyDescent="0.25">
      <c r="B158" s="931">
        <f t="shared" si="75"/>
        <v>13</v>
      </c>
      <c r="C158" s="1620">
        <f t="shared" si="76"/>
        <v>2029</v>
      </c>
      <c r="D158" s="1627">
        <f>-Safety.Costs!I86</f>
        <v>15593131.561358375</v>
      </c>
      <c r="E158" s="1627">
        <f t="shared" si="71"/>
        <v>10618163.8313969</v>
      </c>
      <c r="F158" s="1638">
        <f t="shared" si="72"/>
        <v>6470595.2292124089</v>
      </c>
      <c r="G158" s="940"/>
      <c r="H158" s="931">
        <f t="shared" si="77"/>
        <v>13</v>
      </c>
      <c r="I158" s="1620">
        <f t="shared" si="78"/>
        <v>2029</v>
      </c>
      <c r="J158" s="1627">
        <f>-'Maritime Safety'!G46</f>
        <v>713029.94640840497</v>
      </c>
      <c r="K158" s="1627">
        <f t="shared" si="73"/>
        <v>485538.69746206718</v>
      </c>
      <c r="L158" s="1638">
        <f t="shared" si="74"/>
        <v>295882.07803935732</v>
      </c>
      <c r="M158" s="903"/>
    </row>
    <row r="159" spans="2:25" ht="12" x14ac:dyDescent="0.25">
      <c r="B159" s="931">
        <f t="shared" si="75"/>
        <v>14</v>
      </c>
      <c r="C159" s="1620">
        <f t="shared" si="76"/>
        <v>2030</v>
      </c>
      <c r="D159" s="1627">
        <f>-Safety.Costs!I87</f>
        <v>15399338.005042296</v>
      </c>
      <c r="E159" s="1627">
        <f t="shared" si="71"/>
        <v>10180776.552952835</v>
      </c>
      <c r="F159" s="1638">
        <f t="shared" si="72"/>
        <v>5972128.7786087394</v>
      </c>
      <c r="G159" s="940"/>
      <c r="H159" s="931">
        <f t="shared" si="77"/>
        <v>14</v>
      </c>
      <c r="I159" s="1620">
        <f t="shared" si="78"/>
        <v>2030</v>
      </c>
      <c r="J159" s="1627">
        <f>-'Maritime Safety'!G47</f>
        <v>716727.1387231152</v>
      </c>
      <c r="K159" s="1627">
        <f t="shared" si="73"/>
        <v>473841.07332328305</v>
      </c>
      <c r="L159" s="1638">
        <f t="shared" si="74"/>
        <v>277959.14150184003</v>
      </c>
      <c r="M159" s="903"/>
    </row>
    <row r="160" spans="2:25" ht="12" x14ac:dyDescent="0.25">
      <c r="B160" s="931">
        <f t="shared" si="75"/>
        <v>15</v>
      </c>
      <c r="C160" s="1620">
        <f t="shared" si="76"/>
        <v>2031</v>
      </c>
      <c r="D160" s="1627">
        <f>-Safety.Costs!I88</f>
        <v>15200595.52198872</v>
      </c>
      <c r="E160" s="1627">
        <f t="shared" si="71"/>
        <v>9756683.8433335051</v>
      </c>
      <c r="F160" s="1638">
        <f t="shared" si="72"/>
        <v>5509395.3431382878</v>
      </c>
      <c r="G160" s="940"/>
      <c r="H160" s="931">
        <f t="shared" si="77"/>
        <v>15</v>
      </c>
      <c r="I160" s="1620">
        <f t="shared" si="78"/>
        <v>2031</v>
      </c>
      <c r="J160" s="1627">
        <f>-'Maritime Safety'!G48</f>
        <v>720443.50166464248</v>
      </c>
      <c r="K160" s="1627">
        <f t="shared" si="73"/>
        <v>462425.26896777784</v>
      </c>
      <c r="L160" s="1638">
        <f t="shared" si="74"/>
        <v>261121.8795555534</v>
      </c>
      <c r="M160" s="903"/>
    </row>
    <row r="161" spans="2:13" ht="12" x14ac:dyDescent="0.25">
      <c r="B161" s="931">
        <f t="shared" si="75"/>
        <v>16</v>
      </c>
      <c r="C161" s="1620">
        <f t="shared" si="76"/>
        <v>2032</v>
      </c>
      <c r="D161" s="1627">
        <f>-Safety.Costs!I89</f>
        <v>14996802.942995399</v>
      </c>
      <c r="E161" s="1627">
        <f t="shared" si="71"/>
        <v>9345511.7880736459</v>
      </c>
      <c r="F161" s="1638">
        <f t="shared" si="72"/>
        <v>5079936.0131303817</v>
      </c>
      <c r="G161" s="940"/>
      <c r="H161" s="931">
        <f t="shared" si="77"/>
        <v>16</v>
      </c>
      <c r="I161" s="1620">
        <f t="shared" si="78"/>
        <v>2032</v>
      </c>
      <c r="J161" s="1627">
        <f>-'Maritime Safety'!G49</f>
        <v>724179.13463623682</v>
      </c>
      <c r="K161" s="1627">
        <f t="shared" si="73"/>
        <v>451284.4947783348</v>
      </c>
      <c r="L161" s="1638">
        <f t="shared" si="74"/>
        <v>245304.52790369399</v>
      </c>
      <c r="M161" s="903"/>
    </row>
    <row r="162" spans="2:13" ht="12" x14ac:dyDescent="0.25">
      <c r="B162" s="931">
        <f t="shared" si="75"/>
        <v>17</v>
      </c>
      <c r="C162" s="1620">
        <f t="shared" si="76"/>
        <v>2033</v>
      </c>
      <c r="D162" s="1627">
        <f>-Safety.Costs!I90</f>
        <v>14787857.084572401</v>
      </c>
      <c r="E162" s="1627">
        <f t="shared" si="71"/>
        <v>8946896.7349684145</v>
      </c>
      <c r="F162" s="1638">
        <f t="shared" si="72"/>
        <v>4681456.8428188805</v>
      </c>
      <c r="G162" s="940"/>
      <c r="H162" s="931">
        <f t="shared" si="77"/>
        <v>17</v>
      </c>
      <c r="I162" s="1620">
        <f t="shared" si="78"/>
        <v>2033</v>
      </c>
      <c r="J162" s="1627">
        <f>-'Maritime Safety'!G50</f>
        <v>727934.13755657291</v>
      </c>
      <c r="K162" s="1627">
        <f t="shared" si="73"/>
        <v>440412.12471355655</v>
      </c>
      <c r="L162" s="1638">
        <f t="shared" si="74"/>
        <v>230445.30589498978</v>
      </c>
      <c r="M162" s="903"/>
    </row>
    <row r="163" spans="2:13" ht="12" x14ac:dyDescent="0.25">
      <c r="B163" s="931">
        <f t="shared" si="75"/>
        <v>18</v>
      </c>
      <c r="C163" s="1620">
        <f t="shared" si="76"/>
        <v>2034</v>
      </c>
      <c r="D163" s="1627">
        <f>-Safety.Costs!I91</f>
        <v>14573652.707774788</v>
      </c>
      <c r="E163" s="1627">
        <f t="shared" si="71"/>
        <v>8560485.0138193481</v>
      </c>
      <c r="F163" s="1638">
        <f t="shared" si="72"/>
        <v>4311817.9652331136</v>
      </c>
      <c r="G163" s="940"/>
      <c r="H163" s="931">
        <f t="shared" si="77"/>
        <v>18</v>
      </c>
      <c r="I163" s="1620">
        <f t="shared" si="78"/>
        <v>2034</v>
      </c>
      <c r="J163" s="1627">
        <f>-'Maritime Safety'!G51</f>
        <v>731708.6108624218</v>
      </c>
      <c r="K163" s="1627">
        <f t="shared" si="73"/>
        <v>429801.69236698758</v>
      </c>
      <c r="L163" s="1638">
        <f t="shared" si="74"/>
        <v>216486.17521599247</v>
      </c>
      <c r="M163" s="903"/>
    </row>
    <row r="164" spans="2:13" ht="12" x14ac:dyDescent="0.25">
      <c r="B164" s="931">
        <f t="shared" si="75"/>
        <v>19</v>
      </c>
      <c r="C164" s="1620">
        <f t="shared" si="76"/>
        <v>2035</v>
      </c>
      <c r="D164" s="1627">
        <f>-Safety.Costs!I92</f>
        <v>14354082.476164974</v>
      </c>
      <c r="E164" s="1627">
        <f t="shared" si="71"/>
        <v>8185932.6638628012</v>
      </c>
      <c r="F164" s="1638">
        <f t="shared" si="72"/>
        <v>3969023.4173844801</v>
      </c>
      <c r="G164" s="940"/>
      <c r="H164" s="931">
        <f t="shared" si="77"/>
        <v>19</v>
      </c>
      <c r="I164" s="1620">
        <f t="shared" si="78"/>
        <v>2035</v>
      </c>
      <c r="J164" s="1627">
        <f>-'Maritime Safety'!G52</f>
        <v>735502.65551133803</v>
      </c>
      <c r="K164" s="1627">
        <f t="shared" si="73"/>
        <v>419446.88712118095</v>
      </c>
      <c r="L164" s="1638">
        <f t="shared" si="74"/>
        <v>203372.61320048582</v>
      </c>
      <c r="M164" s="903"/>
    </row>
    <row r="165" spans="2:13" ht="12" x14ac:dyDescent="0.25">
      <c r="B165" s="931">
        <f t="shared" si="75"/>
        <v>20</v>
      </c>
      <c r="C165" s="1620">
        <f t="shared" si="76"/>
        <v>2036</v>
      </c>
      <c r="D165" s="1627">
        <f>-Safety.Costs!I93</f>
        <v>14129036.912885424</v>
      </c>
      <c r="E165" s="1627">
        <f t="shared" si="71"/>
        <v>7822905.1686684033</v>
      </c>
      <c r="F165" s="1638">
        <f t="shared" si="72"/>
        <v>3651211.6297481931</v>
      </c>
      <c r="G165" s="940"/>
      <c r="H165" s="931">
        <f t="shared" si="77"/>
        <v>20</v>
      </c>
      <c r="I165" s="1620">
        <f t="shared" si="78"/>
        <v>2036</v>
      </c>
      <c r="J165" s="1627">
        <f>-'Maritime Safety'!G53</f>
        <v>739316.37298435986</v>
      </c>
      <c r="K165" s="1627">
        <f t="shared" si="73"/>
        <v>409341.55039442115</v>
      </c>
      <c r="L165" s="1638">
        <f t="shared" si="74"/>
        <v>191053.39987058449</v>
      </c>
      <c r="M165" s="903"/>
    </row>
    <row r="166" spans="2:13" ht="12" x14ac:dyDescent="0.25">
      <c r="B166" s="931">
        <f t="shared" si="75"/>
        <v>21</v>
      </c>
      <c r="C166" s="1620">
        <f t="shared" si="76"/>
        <v>2037</v>
      </c>
      <c r="D166" s="1627">
        <f>-Safety.Costs!I94</f>
        <v>13898404.356822915</v>
      </c>
      <c r="E166" s="1627">
        <f t="shared" si="71"/>
        <v>7471077.1983015267</v>
      </c>
      <c r="F166" s="1638">
        <f t="shared" si="72"/>
        <v>3356646.5370038371</v>
      </c>
      <c r="G166" s="940"/>
      <c r="H166" s="931">
        <f t="shared" si="77"/>
        <v>21</v>
      </c>
      <c r="I166" s="1620">
        <f t="shared" si="78"/>
        <v>2037</v>
      </c>
      <c r="J166" s="1627">
        <f>-'Maritime Safety'!G54</f>
        <v>743149.86528872314</v>
      </c>
      <c r="K166" s="1627">
        <f t="shared" si="73"/>
        <v>399479.67197787092</v>
      </c>
      <c r="L166" s="1638">
        <f t="shared" si="74"/>
        <v>179480.41787773147</v>
      </c>
      <c r="M166" s="903"/>
    </row>
    <row r="167" spans="2:13" ht="12" x14ac:dyDescent="0.25">
      <c r="B167" s="931">
        <f t="shared" si="75"/>
        <v>22</v>
      </c>
      <c r="C167" s="1620">
        <f t="shared" si="76"/>
        <v>2038</v>
      </c>
      <c r="D167" s="1627">
        <f>-Safety.Costs!I95</f>
        <v>13662070.917844158</v>
      </c>
      <c r="E167" s="1627">
        <f t="shared" si="71"/>
        <v>7130132.3585489281</v>
      </c>
      <c r="F167" s="1638">
        <f t="shared" si="72"/>
        <v>3083709.2697717207</v>
      </c>
      <c r="G167" s="940"/>
      <c r="H167" s="931">
        <f t="shared" si="77"/>
        <v>22</v>
      </c>
      <c r="I167" s="1620">
        <f t="shared" si="78"/>
        <v>2038</v>
      </c>
      <c r="J167" s="1627">
        <f>-'Maritime Safety'!G55</f>
        <v>747003.23496059061</v>
      </c>
      <c r="K167" s="1627">
        <f t="shared" si="73"/>
        <v>389855.38646096428</v>
      </c>
      <c r="L167" s="1638">
        <f t="shared" si="74"/>
        <v>168608.46456218872</v>
      </c>
      <c r="M167" s="903"/>
    </row>
    <row r="168" spans="2:13" ht="12" x14ac:dyDescent="0.25">
      <c r="B168" s="931">
        <f t="shared" si="75"/>
        <v>23</v>
      </c>
      <c r="C168" s="1620">
        <f t="shared" si="76"/>
        <v>2039</v>
      </c>
      <c r="D168" s="1627">
        <f>-Safety.Costs!I96</f>
        <v>13419920.431082923</v>
      </c>
      <c r="E168" s="1627">
        <f t="shared" si="71"/>
        <v>6799762.9470127877</v>
      </c>
      <c r="F168" s="1638">
        <f t="shared" si="72"/>
        <v>2830890.3896776782</v>
      </c>
      <c r="G168" s="940"/>
      <c r="H168" s="931">
        <f t="shared" si="77"/>
        <v>23</v>
      </c>
      <c r="I168" s="1620">
        <f t="shared" si="78"/>
        <v>2039</v>
      </c>
      <c r="J168" s="1627">
        <f>-'Maritime Safety'!G56</f>
        <v>750876.58506779361</v>
      </c>
      <c r="K168" s="1627">
        <f t="shared" si="73"/>
        <v>380462.96974291868</v>
      </c>
      <c r="L168" s="1638">
        <f t="shared" si="74"/>
        <v>158395.0753969471</v>
      </c>
      <c r="M168" s="903"/>
    </row>
    <row r="169" spans="2:13" ht="12" x14ac:dyDescent="0.25">
      <c r="B169" s="931">
        <f t="shared" si="75"/>
        <v>24</v>
      </c>
      <c r="C169" s="1620">
        <f t="shared" si="76"/>
        <v>2040</v>
      </c>
      <c r="D169" s="1627">
        <f>-Safety.Costs!I97</f>
        <v>13171834.410257889</v>
      </c>
      <c r="E169" s="1627">
        <f t="shared" si="71"/>
        <v>6479669.7158834822</v>
      </c>
      <c r="F169" s="1638">
        <f t="shared" si="72"/>
        <v>2596782.6325075901</v>
      </c>
      <c r="G169" s="940"/>
      <c r="H169" s="931">
        <f t="shared" si="77"/>
        <v>24</v>
      </c>
      <c r="I169" s="1620">
        <f t="shared" si="78"/>
        <v>2040</v>
      </c>
      <c r="J169" s="1627">
        <f>-'Maritime Safety'!G57</f>
        <v>754770.0192125896</v>
      </c>
      <c r="K169" s="1627">
        <f t="shared" si="73"/>
        <v>371296.83562829252</v>
      </c>
      <c r="L169" s="1638">
        <f t="shared" si="74"/>
        <v>148800.35812645013</v>
      </c>
      <c r="M169" s="903"/>
    </row>
    <row r="170" spans="2:13" ht="12" x14ac:dyDescent="0.25">
      <c r="B170" s="931">
        <f t="shared" si="75"/>
        <v>25</v>
      </c>
      <c r="C170" s="1620">
        <f t="shared" si="76"/>
        <v>2041</v>
      </c>
      <c r="D170" s="1627">
        <f>-Safety.Costs!I98</f>
        <v>12917691.999999993</v>
      </c>
      <c r="E170" s="1627">
        <f t="shared" si="71"/>
        <v>6169561.6412067832</v>
      </c>
      <c r="F170" s="1638">
        <f t="shared" si="72"/>
        <v>2380074.1264856127</v>
      </c>
      <c r="G170" s="940"/>
      <c r="H170" s="931">
        <f t="shared" si="77"/>
        <v>25</v>
      </c>
      <c r="I170" s="1620">
        <f t="shared" si="78"/>
        <v>2041</v>
      </c>
      <c r="J170" s="1627">
        <f>-'Maritime Safety'!G58</f>
        <v>758683.64153443254</v>
      </c>
      <c r="K170" s="1627">
        <f t="shared" si="73"/>
        <v>362351.53250456159</v>
      </c>
      <c r="L170" s="1638">
        <f t="shared" si="74"/>
        <v>139786.83695229684</v>
      </c>
      <c r="M170" s="903"/>
    </row>
    <row r="171" spans="2:13" ht="12" x14ac:dyDescent="0.25">
      <c r="B171" s="931">
        <f t="shared" si="75"/>
        <v>26</v>
      </c>
      <c r="C171" s="1620">
        <f t="shared" si="76"/>
        <v>2042</v>
      </c>
      <c r="D171" s="1627">
        <f>-Safety.Costs!I99</f>
        <v>12657369.927168319</v>
      </c>
      <c r="E171" s="1627">
        <f t="shared" si="71"/>
        <v>5869155.6984666372</v>
      </c>
      <c r="F171" s="1638">
        <f t="shared" si="72"/>
        <v>2179542.0548369088</v>
      </c>
      <c r="G171" s="940"/>
      <c r="H171" s="931">
        <f t="shared" si="77"/>
        <v>26</v>
      </c>
      <c r="I171" s="1620">
        <f t="shared" si="78"/>
        <v>2042</v>
      </c>
      <c r="J171" s="1627">
        <f>-'Maritime Safety'!G59</f>
        <v>762617.55671275919</v>
      </c>
      <c r="K171" s="1627">
        <f t="shared" si="73"/>
        <v>353621.74009974109</v>
      </c>
      <c r="L171" s="1638">
        <f t="shared" si="74"/>
        <v>131319.30615733252</v>
      </c>
      <c r="M171" s="903"/>
    </row>
    <row r="172" spans="2:13" ht="12" x14ac:dyDescent="0.25">
      <c r="B172" s="931">
        <f t="shared" si="75"/>
        <v>27</v>
      </c>
      <c r="C172" s="1620">
        <f t="shared" si="76"/>
        <v>2043</v>
      </c>
      <c r="D172" s="1627">
        <f>-Safety.Costs!I100</f>
        <v>12390742.451131755</v>
      </c>
      <c r="E172" s="1627">
        <f t="shared" si="71"/>
        <v>5578176.6443089778</v>
      </c>
      <c r="F172" s="1638">
        <f t="shared" si="72"/>
        <v>1994046.7337854174</v>
      </c>
      <c r="G172" s="940"/>
      <c r="H172" s="931">
        <f t="shared" si="77"/>
        <v>27</v>
      </c>
      <c r="I172" s="1620">
        <f t="shared" si="78"/>
        <v>2043</v>
      </c>
      <c r="J172" s="1627">
        <f>-'Maritime Safety'!G60</f>
        <v>766571.86996978836</v>
      </c>
      <c r="K172" s="1627">
        <f t="shared" si="73"/>
        <v>345102.2663181221</v>
      </c>
      <c r="L172" s="1638">
        <f t="shared" si="74"/>
        <v>123364.69259640027</v>
      </c>
      <c r="M172" s="903"/>
    </row>
    <row r="173" spans="2:13" ht="12.75" thickBot="1" x14ac:dyDescent="0.3">
      <c r="B173" s="917" t="s">
        <v>314</v>
      </c>
      <c r="C173" s="1460"/>
      <c r="D173" s="1637">
        <f>SUM(D152:D172)</f>
        <v>308516103.93287569</v>
      </c>
      <c r="E173" s="1634">
        <f>SUM(E152:E172)</f>
        <v>192603338.6502364</v>
      </c>
      <c r="F173" s="1629">
        <f>SUM(F152:F172)</f>
        <v>109716723.41215144</v>
      </c>
      <c r="G173" s="941"/>
      <c r="H173" s="917" t="s">
        <v>314</v>
      </c>
      <c r="I173" s="1460"/>
      <c r="J173" s="1637">
        <f>SUM(J152:J172)</f>
        <v>15294114.069890587</v>
      </c>
      <c r="K173" s="1634">
        <f>SUM(K152:K172)</f>
        <v>9349825.0032255147</v>
      </c>
      <c r="L173" s="1629">
        <f>SUM(L152:L172)</f>
        <v>5193266.6840885719</v>
      </c>
      <c r="M173" s="903"/>
    </row>
    <row r="174" spans="2:13" ht="12" x14ac:dyDescent="0.25">
      <c r="B174" s="905" t="str">
        <f>Safety.Costs!E102</f>
        <v>Note: Negative values represent savings and positive values represent losses</v>
      </c>
      <c r="H174" s="905" t="s">
        <v>338</v>
      </c>
    </row>
    <row r="175" spans="2:13" ht="12" x14ac:dyDescent="0.25">
      <c r="H175" s="904"/>
      <c r="I175" s="904"/>
    </row>
    <row r="176" spans="2:13" ht="16.5" thickBot="1" x14ac:dyDescent="0.3">
      <c r="B176" s="945" t="s">
        <v>708</v>
      </c>
      <c r="C176" s="900"/>
      <c r="D176" s="900"/>
      <c r="E176" s="900"/>
      <c r="F176" s="900"/>
      <c r="G176" s="900"/>
      <c r="H176" s="900"/>
      <c r="I176" s="900"/>
      <c r="J176" s="902"/>
      <c r="K176" s="902"/>
      <c r="L176" s="902"/>
      <c r="M176" s="902"/>
    </row>
    <row r="177" spans="2:13" ht="12" x14ac:dyDescent="0.25">
      <c r="B177" s="907" t="s">
        <v>182</v>
      </c>
      <c r="C177" s="928" t="s">
        <v>180</v>
      </c>
      <c r="D177" s="928" t="s">
        <v>178</v>
      </c>
      <c r="E177" s="928" t="s">
        <v>268</v>
      </c>
      <c r="F177" s="928" t="s">
        <v>269</v>
      </c>
      <c r="G177" s="909" t="s">
        <v>270</v>
      </c>
      <c r="H177" s="910"/>
      <c r="I177" s="910"/>
      <c r="J177" s="910"/>
      <c r="K177" s="910"/>
      <c r="L177" s="910"/>
      <c r="M177" s="910"/>
    </row>
    <row r="178" spans="2:13" ht="32.25" customHeight="1" x14ac:dyDescent="0.3">
      <c r="B178" s="1782" t="s">
        <v>7</v>
      </c>
      <c r="C178" s="1783" t="s">
        <v>275</v>
      </c>
      <c r="D178" s="1784" t="s">
        <v>673</v>
      </c>
      <c r="E178" s="1784" t="s">
        <v>678</v>
      </c>
      <c r="F178" s="1785" t="s">
        <v>364</v>
      </c>
      <c r="G178" s="1786"/>
      <c r="H178" s="903"/>
      <c r="I178" s="911"/>
      <c r="J178" s="911"/>
      <c r="K178" s="903"/>
      <c r="L178" s="903"/>
      <c r="M178" s="903"/>
    </row>
    <row r="179" spans="2:13" ht="12" x14ac:dyDescent="0.3">
      <c r="B179" s="1782"/>
      <c r="C179" s="1783"/>
      <c r="D179" s="1784"/>
      <c r="E179" s="1784"/>
      <c r="F179" s="1630">
        <f>3/100</f>
        <v>0.03</v>
      </c>
      <c r="G179" s="912">
        <f>7/100</f>
        <v>7.0000000000000007E-2</v>
      </c>
      <c r="H179" s="913"/>
      <c r="I179" s="913"/>
      <c r="J179" s="913"/>
      <c r="K179" s="903"/>
      <c r="L179" s="903"/>
      <c r="M179" s="903"/>
    </row>
    <row r="180" spans="2:13" ht="24" x14ac:dyDescent="0.3">
      <c r="B180" s="1782"/>
      <c r="C180" s="1783"/>
      <c r="D180" s="1784"/>
      <c r="E180" s="1784"/>
      <c r="F180" s="1622" t="s">
        <v>379</v>
      </c>
      <c r="G180" s="1616" t="s">
        <v>380</v>
      </c>
      <c r="H180" s="913"/>
      <c r="I180" s="913"/>
      <c r="J180" s="913"/>
      <c r="K180" s="903"/>
      <c r="L180" s="903"/>
      <c r="M180" s="903"/>
    </row>
    <row r="181" spans="2:13" ht="12" x14ac:dyDescent="0.25">
      <c r="B181" s="931">
        <v>7</v>
      </c>
      <c r="C181" s="1620">
        <v>2023</v>
      </c>
      <c r="D181" s="1626">
        <f>Tourism!G47</f>
        <v>16844.963295680453</v>
      </c>
      <c r="E181" s="1627">
        <f>Tourism!H47</f>
        <v>1094922.6142192294</v>
      </c>
      <c r="F181" s="1627">
        <f t="shared" ref="F181:F201" si="79">E181/(1+$F$35)^B181</f>
        <v>890272.28319952916</v>
      </c>
      <c r="G181" s="1638">
        <f t="shared" ref="G181:G201" si="80">E181/(1+$G$35)^B181</f>
        <v>681862.77538862685</v>
      </c>
      <c r="H181" s="940"/>
      <c r="I181" s="940"/>
      <c r="J181" s="940"/>
      <c r="K181" s="903"/>
      <c r="L181" s="903"/>
      <c r="M181" s="903"/>
    </row>
    <row r="182" spans="2:13" ht="12" x14ac:dyDescent="0.25">
      <c r="B182" s="931">
        <f>B181+1</f>
        <v>8</v>
      </c>
      <c r="C182" s="1620">
        <f>C181+1</f>
        <v>2024</v>
      </c>
      <c r="D182" s="1626">
        <f>Tourism!G48</f>
        <v>20194.101391029279</v>
      </c>
      <c r="E182" s="1627">
        <f>Tourism!H48</f>
        <v>1312616.5904169031</v>
      </c>
      <c r="F182" s="1627">
        <f t="shared" si="79"/>
        <v>1036191.6575887766</v>
      </c>
      <c r="G182" s="1638">
        <f t="shared" si="80"/>
        <v>763954.80642575561</v>
      </c>
      <c r="H182" s="940"/>
      <c r="I182" s="940"/>
      <c r="J182" s="940"/>
      <c r="K182" s="903"/>
      <c r="L182" s="903"/>
      <c r="M182" s="903"/>
    </row>
    <row r="183" spans="2:13" ht="12" x14ac:dyDescent="0.25">
      <c r="B183" s="931">
        <f t="shared" ref="B183:B201" si="81">B182+1</f>
        <v>9</v>
      </c>
      <c r="C183" s="1620">
        <f t="shared" ref="C183:C201" si="82">C182+1</f>
        <v>2025</v>
      </c>
      <c r="D183" s="1626">
        <f>Tourism!G49</f>
        <v>23628.327566491123</v>
      </c>
      <c r="E183" s="1627">
        <f>Tourism!H49</f>
        <v>1535841.2918219231</v>
      </c>
      <c r="F183" s="1627">
        <f t="shared" si="79"/>
        <v>1177094.4642765732</v>
      </c>
      <c r="G183" s="1638">
        <f t="shared" si="80"/>
        <v>835395.90187597123</v>
      </c>
      <c r="H183" s="940"/>
      <c r="I183" s="940"/>
      <c r="J183" s="940"/>
      <c r="K183" s="903"/>
      <c r="L183" s="903"/>
      <c r="M183" s="903"/>
    </row>
    <row r="184" spans="2:13" ht="12" x14ac:dyDescent="0.25">
      <c r="B184" s="931">
        <f t="shared" si="81"/>
        <v>10</v>
      </c>
      <c r="C184" s="1620">
        <f t="shared" si="82"/>
        <v>2026</v>
      </c>
      <c r="D184" s="1626">
        <f>Tourism!G50</f>
        <v>27149.547763447812</v>
      </c>
      <c r="E184" s="1627">
        <f>Tourism!H50</f>
        <v>1764720.6046241077</v>
      </c>
      <c r="F184" s="1627">
        <f t="shared" si="79"/>
        <v>1313117.8633936683</v>
      </c>
      <c r="G184" s="1638">
        <f t="shared" si="80"/>
        <v>897094.47017621633</v>
      </c>
      <c r="H184" s="940"/>
      <c r="I184" s="940"/>
      <c r="J184" s="940"/>
      <c r="K184" s="903"/>
      <c r="L184" s="903"/>
      <c r="M184" s="903"/>
    </row>
    <row r="185" spans="2:13" ht="12" x14ac:dyDescent="0.25">
      <c r="B185" s="931">
        <f t="shared" si="81"/>
        <v>11</v>
      </c>
      <c r="C185" s="1620">
        <f t="shared" si="82"/>
        <v>2027</v>
      </c>
      <c r="D185" s="1626">
        <f>Tourism!G51</f>
        <v>30759.709733963598</v>
      </c>
      <c r="E185" s="1627">
        <f>Tourism!H51</f>
        <v>1999381.132707634</v>
      </c>
      <c r="F185" s="1627">
        <f t="shared" si="79"/>
        <v>1444395.4702981284</v>
      </c>
      <c r="G185" s="1638">
        <f t="shared" si="80"/>
        <v>949891.57338265039</v>
      </c>
      <c r="H185" s="940"/>
      <c r="I185" s="940"/>
      <c r="J185" s="940"/>
      <c r="K185" s="903"/>
      <c r="L185" s="903"/>
      <c r="M185" s="903"/>
    </row>
    <row r="186" spans="2:13" ht="12" x14ac:dyDescent="0.25">
      <c r="B186" s="931">
        <f t="shared" si="81"/>
        <v>12</v>
      </c>
      <c r="C186" s="1620">
        <f t="shared" si="82"/>
        <v>2028</v>
      </c>
      <c r="D186" s="1626">
        <f>Tourism!G52</f>
        <v>34460.803954541014</v>
      </c>
      <c r="E186" s="1627">
        <f>Tourism!H52</f>
        <v>2239952.2570451661</v>
      </c>
      <c r="F186" s="1627">
        <f t="shared" si="79"/>
        <v>1571057.4456843184</v>
      </c>
      <c r="G186" s="1638">
        <f t="shared" si="80"/>
        <v>994565.59025633126</v>
      </c>
      <c r="H186" s="940"/>
      <c r="I186" s="940"/>
      <c r="J186" s="940"/>
      <c r="K186" s="903"/>
      <c r="L186" s="903"/>
      <c r="M186" s="903"/>
    </row>
    <row r="187" spans="2:13" ht="12" x14ac:dyDescent="0.25">
      <c r="B187" s="931">
        <f t="shared" si="81"/>
        <v>13</v>
      </c>
      <c r="C187" s="1620">
        <f t="shared" si="82"/>
        <v>2029</v>
      </c>
      <c r="D187" s="1626">
        <f>Tourism!G53</f>
        <v>38254.864559831396</v>
      </c>
      <c r="E187" s="1627">
        <f>Tourism!H53</f>
        <v>2486566.1963890409</v>
      </c>
      <c r="F187" s="1627">
        <f t="shared" si="79"/>
        <v>1693230.583412857</v>
      </c>
      <c r="G187" s="1638">
        <f t="shared" si="80"/>
        <v>1031836.5688228793</v>
      </c>
      <c r="H187" s="940"/>
      <c r="I187" s="940"/>
      <c r="J187" s="940"/>
      <c r="K187" s="903"/>
      <c r="L187" s="903"/>
      <c r="M187" s="903"/>
    </row>
    <row r="188" spans="2:13" ht="12" x14ac:dyDescent="0.25">
      <c r="B188" s="931">
        <f t="shared" si="81"/>
        <v>14</v>
      </c>
      <c r="C188" s="1620">
        <f t="shared" si="82"/>
        <v>2030</v>
      </c>
      <c r="D188" s="1626">
        <f>Tourism!G54</f>
        <v>42143.970296738087</v>
      </c>
      <c r="E188" s="1627">
        <f>Tourism!H54</f>
        <v>2739358.0692879758</v>
      </c>
      <c r="F188" s="1627">
        <f t="shared" si="79"/>
        <v>1811038.3961191957</v>
      </c>
      <c r="G188" s="1638">
        <f t="shared" si="80"/>
        <v>1062370.2885898086</v>
      </c>
      <c r="H188" s="940"/>
      <c r="I188" s="940"/>
      <c r="J188" s="940"/>
      <c r="K188" s="903"/>
      <c r="L188" s="903"/>
      <c r="M188" s="903"/>
    </row>
    <row r="189" spans="2:13" ht="12" x14ac:dyDescent="0.25">
      <c r="B189" s="931">
        <f t="shared" si="81"/>
        <v>15</v>
      </c>
      <c r="C189" s="1620">
        <f t="shared" si="82"/>
        <v>2031</v>
      </c>
      <c r="D189" s="1626">
        <f>Tourism!G55</f>
        <v>46130.245499355937</v>
      </c>
      <c r="E189" s="1627">
        <f>Tourism!H55</f>
        <v>2998465.9574581357</v>
      </c>
      <c r="F189" s="1627">
        <f t="shared" si="79"/>
        <v>1924601.1986568426</v>
      </c>
      <c r="G189" s="1638">
        <f t="shared" si="80"/>
        <v>1086782.0513138182</v>
      </c>
      <c r="H189" s="940"/>
      <c r="I189" s="940"/>
      <c r="J189" s="940"/>
      <c r="K189" s="903"/>
      <c r="L189" s="903"/>
      <c r="M189" s="903"/>
    </row>
    <row r="190" spans="2:13" ht="12" x14ac:dyDescent="0.25">
      <c r="B190" s="931">
        <f t="shared" si="81"/>
        <v>16</v>
      </c>
      <c r="C190" s="1620">
        <f t="shared" si="82"/>
        <v>2032</v>
      </c>
      <c r="D190" s="1626">
        <f>Tourism!G56</f>
        <v>50215.861085203505</v>
      </c>
      <c r="E190" s="1627">
        <f>Tourism!H56</f>
        <v>3264030.9705382278</v>
      </c>
      <c r="F190" s="1627">
        <f t="shared" si="79"/>
        <v>2034036.1894299667</v>
      </c>
      <c r="G190" s="1638">
        <f t="shared" si="80"/>
        <v>1105640.2180009056</v>
      </c>
      <c r="H190" s="940"/>
      <c r="I190" s="940"/>
      <c r="J190" s="940"/>
      <c r="K190" s="903"/>
      <c r="L190" s="903"/>
      <c r="M190" s="903"/>
    </row>
    <row r="191" spans="2:13" ht="12" x14ac:dyDescent="0.25">
      <c r="B191" s="931">
        <f t="shared" si="81"/>
        <v>17</v>
      </c>
      <c r="C191" s="1620">
        <f t="shared" si="82"/>
        <v>2033</v>
      </c>
      <c r="D191" s="1626">
        <f>Tourism!G57</f>
        <v>54403.035573211819</v>
      </c>
      <c r="E191" s="1627">
        <f>Tourism!H57</f>
        <v>3536197.3122587684</v>
      </c>
      <c r="F191" s="1627">
        <f t="shared" si="79"/>
        <v>2139457.5296686329</v>
      </c>
      <c r="G191" s="1638">
        <f t="shared" si="80"/>
        <v>1119469.5086891442</v>
      </c>
      <c r="H191" s="940"/>
      <c r="I191" s="940"/>
      <c r="J191" s="940"/>
      <c r="K191" s="903"/>
      <c r="L191" s="903"/>
      <c r="M191" s="903"/>
    </row>
    <row r="192" spans="2:13" ht="12" x14ac:dyDescent="0.25">
      <c r="B192" s="931">
        <f t="shared" si="81"/>
        <v>18</v>
      </c>
      <c r="C192" s="1620">
        <f t="shared" si="82"/>
        <v>2034</v>
      </c>
      <c r="D192" s="1626">
        <f>Tourism!G58</f>
        <v>58694.036123945669</v>
      </c>
      <c r="E192" s="1627">
        <f>Tourism!H58</f>
        <v>3815112.3480564686</v>
      </c>
      <c r="F192" s="1627">
        <f t="shared" si="79"/>
        <v>2240976.4206986646</v>
      </c>
      <c r="G192" s="1638">
        <f t="shared" si="80"/>
        <v>1128754.0805028754</v>
      </c>
      <c r="H192" s="940"/>
      <c r="I192" s="940"/>
      <c r="J192" s="940"/>
      <c r="K192" s="903"/>
      <c r="L192" s="903"/>
      <c r="M192" s="903"/>
    </row>
    <row r="193" spans="2:13" ht="12" x14ac:dyDescent="0.25">
      <c r="B193" s="931">
        <f t="shared" si="81"/>
        <v>19</v>
      </c>
      <c r="C193" s="1620">
        <f t="shared" si="82"/>
        <v>2035</v>
      </c>
      <c r="D193" s="1626">
        <f>Tourism!G59</f>
        <v>63091.179602541815</v>
      </c>
      <c r="E193" s="1627">
        <f>Tourism!H59</f>
        <v>4100926.6741652181</v>
      </c>
      <c r="F193" s="1627">
        <f t="shared" si="79"/>
        <v>2338701.1792567242</v>
      </c>
      <c r="G193" s="1638">
        <f t="shared" si="80"/>
        <v>1133940.3984731105</v>
      </c>
      <c r="H193" s="940"/>
      <c r="I193" s="940"/>
      <c r="J193" s="940"/>
      <c r="K193" s="903"/>
      <c r="L193" s="903"/>
      <c r="M193" s="903"/>
    </row>
    <row r="194" spans="2:13" ht="12" x14ac:dyDescent="0.25">
      <c r="B194" s="931">
        <f t="shared" si="81"/>
        <v>20</v>
      </c>
      <c r="C194" s="1620">
        <f t="shared" si="82"/>
        <v>2036</v>
      </c>
      <c r="D194" s="1626">
        <f>Tourism!G60</f>
        <v>67596.83366486145</v>
      </c>
      <c r="E194" s="1627">
        <f>Tourism!H60</f>
        <v>4393794.1882159943</v>
      </c>
      <c r="F194" s="1627">
        <f t="shared" si="79"/>
        <v>2432737.310900026</v>
      </c>
      <c r="G194" s="1638">
        <f t="shared" si="80"/>
        <v>1135439.9126881489</v>
      </c>
      <c r="H194" s="940"/>
      <c r="I194" s="940"/>
      <c r="J194" s="940"/>
      <c r="K194" s="903"/>
      <c r="L194" s="903"/>
      <c r="M194" s="903"/>
    </row>
    <row r="195" spans="2:13" ht="12" x14ac:dyDescent="0.25">
      <c r="B195" s="931">
        <f t="shared" si="81"/>
        <v>21</v>
      </c>
      <c r="C195" s="1620">
        <f t="shared" si="82"/>
        <v>2037</v>
      </c>
      <c r="D195" s="1626">
        <f>Tourism!G61</f>
        <v>72213.417867363198</v>
      </c>
      <c r="E195" s="1627">
        <f>Tourism!H61</f>
        <v>4693872.1613786081</v>
      </c>
      <c r="F195" s="1627">
        <f t="shared" si="79"/>
        <v>2523187.5815587798</v>
      </c>
      <c r="G195" s="1638">
        <f t="shared" si="80"/>
        <v>1133631.5544665779</v>
      </c>
      <c r="H195" s="940"/>
      <c r="I195" s="940"/>
      <c r="J195" s="940"/>
      <c r="K195" s="903"/>
      <c r="L195" s="903"/>
      <c r="M195" s="903"/>
    </row>
    <row r="196" spans="2:13" ht="12" x14ac:dyDescent="0.25">
      <c r="B196" s="931">
        <f t="shared" si="81"/>
        <v>22</v>
      </c>
      <c r="C196" s="1620">
        <f t="shared" si="82"/>
        <v>2038</v>
      </c>
      <c r="D196" s="1626">
        <f>Tourism!G62</f>
        <v>76943.404801214376</v>
      </c>
      <c r="E196" s="1627">
        <f>Tourism!H62</f>
        <v>5001321.3120789342</v>
      </c>
      <c r="F196" s="1627">
        <f t="shared" si="79"/>
        <v>2610152.0872782487</v>
      </c>
      <c r="G196" s="1638">
        <f t="shared" si="80"/>
        <v>1128864.0634284108</v>
      </c>
      <c r="H196" s="940"/>
      <c r="I196" s="940"/>
      <c r="J196" s="940"/>
      <c r="K196" s="903"/>
      <c r="L196" s="903"/>
      <c r="M196" s="903"/>
    </row>
    <row r="197" spans="2:13" ht="12" x14ac:dyDescent="0.25">
      <c r="B197" s="931">
        <f t="shared" si="81"/>
        <v>23</v>
      </c>
      <c r="C197" s="1620">
        <f t="shared" si="82"/>
        <v>2039</v>
      </c>
      <c r="D197" s="1626">
        <f>Tourism!G63</f>
        <v>81789.321251169924</v>
      </c>
      <c r="E197" s="1627">
        <f>Tourism!H63</f>
        <v>5316305.8813260449</v>
      </c>
      <c r="F197" s="1627">
        <f t="shared" si="79"/>
        <v>2693728.3221961623</v>
      </c>
      <c r="G197" s="1638">
        <f t="shared" si="80"/>
        <v>1121458.1565755503</v>
      </c>
      <c r="H197" s="940"/>
      <c r="I197" s="940"/>
      <c r="J197" s="940"/>
      <c r="K197" s="903"/>
      <c r="L197" s="903"/>
      <c r="M197" s="903"/>
    </row>
    <row r="198" spans="2:13" ht="12" x14ac:dyDescent="0.25">
      <c r="B198" s="931">
        <f t="shared" si="81"/>
        <v>24</v>
      </c>
      <c r="C198" s="1620">
        <f t="shared" si="82"/>
        <v>2040</v>
      </c>
      <c r="D198" s="1626">
        <f>Tourism!G64</f>
        <v>86753.74937976092</v>
      </c>
      <c r="E198" s="1627">
        <f>Tourism!H64</f>
        <v>5638993.7096844595</v>
      </c>
      <c r="F198" s="1627">
        <f t="shared" si="79"/>
        <v>2774011.244800067</v>
      </c>
      <c r="G198" s="1638">
        <f t="shared" si="80"/>
        <v>1111708.5497768153</v>
      </c>
      <c r="H198" s="940"/>
      <c r="I198" s="940"/>
      <c r="J198" s="940"/>
      <c r="K198" s="903"/>
      <c r="L198" s="903"/>
      <c r="M198" s="903"/>
    </row>
    <row r="199" spans="2:13" ht="12" x14ac:dyDescent="0.25">
      <c r="B199" s="931">
        <f t="shared" si="81"/>
        <v>25</v>
      </c>
      <c r="C199" s="1620">
        <f t="shared" si="82"/>
        <v>2041</v>
      </c>
      <c r="D199" s="1626">
        <f>Tourism!G65</f>
        <v>91839.327937343362</v>
      </c>
      <c r="E199" s="1627">
        <f>Tourism!H65</f>
        <v>5969556.3159273183</v>
      </c>
      <c r="F199" s="1627">
        <f t="shared" si="79"/>
        <v>2851093.3425080026</v>
      </c>
      <c r="G199" s="1638">
        <f t="shared" si="80"/>
        <v>1099885.8413822989</v>
      </c>
      <c r="H199" s="940"/>
      <c r="I199" s="940"/>
      <c r="J199" s="940"/>
      <c r="K199" s="903"/>
      <c r="L199" s="903"/>
      <c r="M199" s="903"/>
    </row>
    <row r="200" spans="2:13" ht="12" x14ac:dyDescent="0.25">
      <c r="B200" s="931">
        <f t="shared" si="81"/>
        <v>26</v>
      </c>
      <c r="C200" s="1620">
        <f t="shared" si="82"/>
        <v>2042</v>
      </c>
      <c r="D200" s="1626">
        <f>Tourism!G66</f>
        <v>97048.75349857338</v>
      </c>
      <c r="E200" s="1627">
        <f>Tourism!H66</f>
        <v>6308168.9774072701</v>
      </c>
      <c r="F200" s="1627">
        <f t="shared" si="79"/>
        <v>2925064.6946148933</v>
      </c>
      <c r="G200" s="1638">
        <f t="shared" si="80"/>
        <v>1086238.267064109</v>
      </c>
      <c r="H200" s="940"/>
      <c r="I200" s="940"/>
      <c r="J200" s="940"/>
      <c r="K200" s="903"/>
      <c r="L200" s="903"/>
      <c r="M200" s="903"/>
    </row>
    <row r="201" spans="2:13" ht="12" x14ac:dyDescent="0.25">
      <c r="B201" s="931">
        <f t="shared" si="81"/>
        <v>27</v>
      </c>
      <c r="C201" s="1620">
        <f t="shared" si="82"/>
        <v>2043</v>
      </c>
      <c r="D201" s="1626">
        <f>Tourism!G67</f>
        <v>102384.78172588616</v>
      </c>
      <c r="E201" s="1627">
        <f>Tourism!H67</f>
        <v>6655010.8121826006</v>
      </c>
      <c r="F201" s="1627">
        <f t="shared" si="79"/>
        <v>2996013.0336459335</v>
      </c>
      <c r="G201" s="1638">
        <f t="shared" si="80"/>
        <v>1070993.3343927467</v>
      </c>
      <c r="H201" s="940"/>
      <c r="I201" s="940"/>
      <c r="J201" s="940"/>
      <c r="K201" s="903"/>
      <c r="L201" s="903"/>
      <c r="M201" s="903"/>
    </row>
    <row r="202" spans="2:13" ht="12.75" thickBot="1" x14ac:dyDescent="0.3">
      <c r="B202" s="917" t="s">
        <v>314</v>
      </c>
      <c r="C202" s="1460"/>
      <c r="D202" s="1667">
        <f>SUM(D181:D201)</f>
        <v>1182540.2365721543</v>
      </c>
      <c r="E202" s="1637">
        <f>SUM(E181:E201)</f>
        <v>76865115.377190039</v>
      </c>
      <c r="F202" s="1634">
        <f>SUM(F181:F201)</f>
        <v>43420158.299185991</v>
      </c>
      <c r="G202" s="1629">
        <f>SUM(G181:G201)</f>
        <v>21679777.911672749</v>
      </c>
      <c r="H202" s="941"/>
      <c r="I202" s="941"/>
      <c r="J202" s="941"/>
      <c r="K202" s="903"/>
      <c r="L202" s="903"/>
      <c r="M202" s="903"/>
    </row>
    <row r="203" spans="2:13" ht="12" x14ac:dyDescent="0.25">
      <c r="B203" s="905" t="s">
        <v>338</v>
      </c>
      <c r="H203" s="903"/>
      <c r="I203" s="903"/>
      <c r="J203" s="903"/>
      <c r="K203" s="903"/>
      <c r="L203" s="903"/>
      <c r="M203" s="903"/>
    </row>
    <row r="206" spans="2:13" ht="12.75" thickBot="1" x14ac:dyDescent="0.3"/>
    <row r="207" spans="2:13" ht="12" x14ac:dyDescent="0.25">
      <c r="D207" s="1776" t="s">
        <v>507</v>
      </c>
      <c r="E207" s="1777"/>
      <c r="F207" s="1777"/>
      <c r="G207" s="1778"/>
    </row>
    <row r="208" spans="2:13" ht="12" x14ac:dyDescent="0.25">
      <c r="D208" s="942"/>
      <c r="E208" s="1619" t="s">
        <v>603</v>
      </c>
      <c r="F208" s="1619" t="s">
        <v>368</v>
      </c>
      <c r="G208" s="1639" t="s">
        <v>383</v>
      </c>
    </row>
    <row r="209" spans="4:13" ht="12" x14ac:dyDescent="0.25">
      <c r="D209" s="942" t="s">
        <v>277</v>
      </c>
      <c r="E209" s="1668">
        <f>E58</f>
        <v>1946351493.6218312</v>
      </c>
      <c r="F209" s="1668">
        <f t="shared" ref="F209:G209" si="83">F58</f>
        <v>1056909667.8246722</v>
      </c>
      <c r="G209" s="1669">
        <f t="shared" si="83"/>
        <v>497557501.01765037</v>
      </c>
      <c r="I209" s="924"/>
      <c r="J209" s="924"/>
    </row>
    <row r="210" spans="4:13" ht="12" x14ac:dyDescent="0.25">
      <c r="D210" s="942" t="s">
        <v>957</v>
      </c>
      <c r="E210" s="1668">
        <f>L58</f>
        <v>43996729.083715953</v>
      </c>
      <c r="F210" s="1668">
        <f t="shared" ref="F210:G210" si="84">M58</f>
        <v>25427146.208423302</v>
      </c>
      <c r="G210" s="1669">
        <f t="shared" si="84"/>
        <v>13133704.371382557</v>
      </c>
      <c r="I210" s="924"/>
      <c r="J210" s="924"/>
    </row>
    <row r="211" spans="4:13" ht="12" x14ac:dyDescent="0.25">
      <c r="D211" s="942" t="s">
        <v>971</v>
      </c>
      <c r="E211" s="1668">
        <f>E87</f>
        <v>-292680671.8372249</v>
      </c>
      <c r="F211" s="1668">
        <f t="shared" ref="F211:G211" si="85">F87</f>
        <v>-175190596.49779978</v>
      </c>
      <c r="G211" s="1669">
        <f t="shared" si="85"/>
        <v>-94750388.975712046</v>
      </c>
    </row>
    <row r="212" spans="4:13" ht="12" x14ac:dyDescent="0.25">
      <c r="D212" s="942" t="s">
        <v>970</v>
      </c>
      <c r="E212" s="1668">
        <f>M87</f>
        <v>143041688.46994206</v>
      </c>
      <c r="F212" s="1668">
        <f t="shared" ref="F212:G212" si="86">N87</f>
        <v>69586637.475163847</v>
      </c>
      <c r="G212" s="1669">
        <f t="shared" si="86"/>
        <v>26621188.85660319</v>
      </c>
    </row>
    <row r="213" spans="4:13" ht="12" x14ac:dyDescent="0.25">
      <c r="D213" s="942" t="s">
        <v>370</v>
      </c>
      <c r="E213" s="1668">
        <f>D116</f>
        <v>0</v>
      </c>
      <c r="F213" s="1668">
        <f t="shared" ref="F213:G213" si="87">E116</f>
        <v>0</v>
      </c>
      <c r="G213" s="1669">
        <f t="shared" si="87"/>
        <v>0</v>
      </c>
    </row>
    <row r="214" spans="4:13" ht="12" x14ac:dyDescent="0.25">
      <c r="D214" s="942" t="s">
        <v>369</v>
      </c>
      <c r="E214" s="1668">
        <f>H145</f>
        <v>3485609.4679585625</v>
      </c>
      <c r="F214" s="1668">
        <f t="shared" ref="F214:G214" si="88">I145</f>
        <v>2520764.9621138466</v>
      </c>
      <c r="G214" s="1669">
        <f t="shared" si="88"/>
        <v>1782189.6116655997</v>
      </c>
    </row>
    <row r="215" spans="4:13" ht="12" x14ac:dyDescent="0.25">
      <c r="D215" s="942" t="s">
        <v>371</v>
      </c>
      <c r="E215" s="1668">
        <f>D173</f>
        <v>308516103.93287569</v>
      </c>
      <c r="F215" s="1668">
        <f t="shared" ref="F215:G215" si="89">E173</f>
        <v>192603338.6502364</v>
      </c>
      <c r="G215" s="1669">
        <f t="shared" si="89"/>
        <v>109716723.41215144</v>
      </c>
    </row>
    <row r="216" spans="4:13" ht="12" x14ac:dyDescent="0.25">
      <c r="D216" s="942" t="s">
        <v>924</v>
      </c>
      <c r="E216" s="1668">
        <f>J173</f>
        <v>15294114.069890587</v>
      </c>
      <c r="F216" s="1668">
        <f t="shared" ref="F216:G216" si="90">K173</f>
        <v>9349825.0032255147</v>
      </c>
      <c r="G216" s="1669">
        <f t="shared" si="90"/>
        <v>5193266.6840885719</v>
      </c>
    </row>
    <row r="217" spans="4:13" ht="12" x14ac:dyDescent="0.25">
      <c r="D217" s="942" t="s">
        <v>683</v>
      </c>
      <c r="E217" s="1668">
        <f>E202</f>
        <v>76865115.377190039</v>
      </c>
      <c r="F217" s="1668">
        <f t="shared" ref="F217:G217" si="91">F202</f>
        <v>43420158.299185991</v>
      </c>
      <c r="G217" s="1669">
        <f t="shared" si="91"/>
        <v>21679777.911672749</v>
      </c>
    </row>
    <row r="218" spans="4:13" ht="12" x14ac:dyDescent="0.25">
      <c r="D218" s="942" t="s">
        <v>372</v>
      </c>
      <c r="E218" s="1668">
        <f>E29</f>
        <v>-23808285.560371891</v>
      </c>
      <c r="F218" s="1668">
        <f t="shared" ref="F218:G218" si="92">F29</f>
        <v>-11524698.83004264</v>
      </c>
      <c r="G218" s="1669">
        <f t="shared" si="92"/>
        <v>-4335171.6297450839</v>
      </c>
    </row>
    <row r="219" spans="4:13" ht="12.75" thickBot="1" x14ac:dyDescent="0.3">
      <c r="D219" s="943" t="s">
        <v>208</v>
      </c>
      <c r="E219" s="1670">
        <f>SUM(E209:E218)</f>
        <v>2221061896.6258073</v>
      </c>
      <c r="F219" s="1670">
        <f>SUM(F209:F218)</f>
        <v>1213102243.0951788</v>
      </c>
      <c r="G219" s="1671">
        <f>SUM(G209:G218)</f>
        <v>576598791.25975728</v>
      </c>
    </row>
    <row r="222" spans="4:13" ht="12.75" thickBot="1" x14ac:dyDescent="0.3">
      <c r="K222" s="904"/>
      <c r="L222" s="904"/>
      <c r="M222" s="904"/>
    </row>
    <row r="223" spans="4:13" ht="16.5" thickBot="1" x14ac:dyDescent="0.3">
      <c r="D223" s="1779" t="s">
        <v>604</v>
      </c>
      <c r="E223" s="1780"/>
      <c r="F223" s="1780"/>
      <c r="G223" s="1780"/>
      <c r="H223" s="1780"/>
      <c r="I223" s="1780"/>
      <c r="J223" s="1781"/>
      <c r="K223" s="904"/>
      <c r="L223" s="904"/>
      <c r="M223" s="904"/>
    </row>
    <row r="224" spans="4:13" ht="12" x14ac:dyDescent="0.25">
      <c r="K224" s="904"/>
      <c r="L224" s="904"/>
      <c r="M224" s="904"/>
    </row>
    <row r="225" spans="4:16" ht="15" x14ac:dyDescent="0.25">
      <c r="D225" s="606" t="s">
        <v>854</v>
      </c>
      <c r="K225" s="904"/>
      <c r="L225" s="904"/>
      <c r="M225" s="904"/>
    </row>
    <row r="226" spans="4:16" ht="15" x14ac:dyDescent="0.25">
      <c r="D226" s="606" t="s">
        <v>631</v>
      </c>
      <c r="E226" s="606" t="s">
        <v>610</v>
      </c>
      <c r="F226" s="1398" t="s">
        <v>853</v>
      </c>
      <c r="G226" s="1399" t="s">
        <v>639</v>
      </c>
      <c r="H226" s="1399" t="s">
        <v>660</v>
      </c>
      <c r="K226" s="1399" t="s">
        <v>583</v>
      </c>
      <c r="L226" s="904"/>
      <c r="M226" s="904"/>
    </row>
    <row r="227" spans="4:16" ht="14.4" x14ac:dyDescent="0.3">
      <c r="D227" s="1773" t="s">
        <v>373</v>
      </c>
      <c r="E227" s="1400" t="s">
        <v>573</v>
      </c>
      <c r="F227" s="814">
        <v>0</v>
      </c>
      <c r="G227" s="814">
        <v>0</v>
      </c>
      <c r="H227" s="814">
        <v>0</v>
      </c>
      <c r="K227" s="814">
        <v>0</v>
      </c>
      <c r="L227" s="904"/>
      <c r="M227" s="904"/>
    </row>
    <row r="228" spans="4:16" ht="14.4" x14ac:dyDescent="0.3">
      <c r="D228" s="1774"/>
      <c r="E228" s="1400" t="s">
        <v>574</v>
      </c>
      <c r="F228" s="814">
        <f>Travel.Time.Costs!W81</f>
        <v>-427804357.38245219</v>
      </c>
      <c r="G228" s="814">
        <v>-361715689.44582605</v>
      </c>
      <c r="H228" s="814">
        <v>-258744172.47597361</v>
      </c>
      <c r="K228" s="814">
        <f>Travel.Time.Costs!AA83</f>
        <v>81166952.304604605</v>
      </c>
      <c r="L228" s="904"/>
      <c r="M228" s="904"/>
    </row>
    <row r="229" spans="4:16" ht="14.4" x14ac:dyDescent="0.3">
      <c r="D229" s="1774"/>
      <c r="E229" s="1400" t="s">
        <v>575</v>
      </c>
      <c r="F229" s="814">
        <f>Travel.Time.Costs!X81</f>
        <v>-375287559.29759967</v>
      </c>
      <c r="G229" s="814">
        <v>-486518710.23905444</v>
      </c>
      <c r="H229" s="814">
        <v>-350283542.62725687</v>
      </c>
      <c r="K229" s="814">
        <f>Travel.Time.Costs!AB83</f>
        <v>85683236.031987742</v>
      </c>
      <c r="L229" s="1599"/>
      <c r="M229" s="1599"/>
      <c r="N229" s="1599"/>
      <c r="O229" s="1599"/>
      <c r="P229" s="1599"/>
    </row>
    <row r="230" spans="4:16" ht="14.4" x14ac:dyDescent="0.3">
      <c r="D230" s="1775"/>
      <c r="E230" s="1400" t="s">
        <v>140</v>
      </c>
      <c r="F230" s="814">
        <f>Travel.Time.Costs!Y81</f>
        <v>-337308256.30848902</v>
      </c>
      <c r="G230" s="814">
        <v>-280183156.68278575</v>
      </c>
      <c r="H230" s="814">
        <v>-232342143.29849112</v>
      </c>
      <c r="K230" s="814">
        <f>Travel.Time.Costs!AC83</f>
        <v>40000707.932417706</v>
      </c>
      <c r="L230" s="1599"/>
      <c r="M230" s="1599"/>
      <c r="N230" s="1599"/>
      <c r="O230" s="1599"/>
      <c r="P230" s="1599"/>
    </row>
    <row r="231" spans="4:16" ht="14.4" x14ac:dyDescent="0.3">
      <c r="D231" s="1773" t="s">
        <v>995</v>
      </c>
      <c r="E231" s="1400" t="s">
        <v>573</v>
      </c>
      <c r="F231" s="814">
        <f>'VOC.1 '!V75</f>
        <v>147971143.85577708</v>
      </c>
      <c r="G231" s="814">
        <v>208588737.96889317</v>
      </c>
      <c r="H231" s="814">
        <v>147971143.85577708</v>
      </c>
      <c r="K231" s="814">
        <f>'VOC.1 '!Z77</f>
        <v>66100772.725733936</v>
      </c>
    </row>
    <row r="232" spans="4:16" ht="14.4" x14ac:dyDescent="0.3">
      <c r="D232" s="1774"/>
      <c r="E232" s="1400" t="s">
        <v>574</v>
      </c>
      <c r="F232" s="814">
        <f>'VOC.1 '!W75</f>
        <v>73964564.055762365</v>
      </c>
      <c r="G232" s="814">
        <v>104180820.87259501</v>
      </c>
      <c r="H232" s="814">
        <v>73964564.055762365</v>
      </c>
      <c r="K232" s="814">
        <f>'VOC.1 '!AA77</f>
        <v>1754784.4681873024</v>
      </c>
    </row>
    <row r="233" spans="4:16" ht="14.4" x14ac:dyDescent="0.3">
      <c r="D233" s="1774"/>
      <c r="E233" s="1400" t="s">
        <v>575</v>
      </c>
      <c r="F233" s="814">
        <f>'VOC.1 '!X75</f>
        <v>48652702.767725706</v>
      </c>
      <c r="G233" s="814">
        <v>68551448.664575741</v>
      </c>
      <c r="H233" s="814">
        <v>48652702.767725706</v>
      </c>
      <c r="K233" s="814">
        <f>'VOC.1 '!AB77</f>
        <v>21463062.266287431</v>
      </c>
    </row>
    <row r="234" spans="4:16" ht="14.4" x14ac:dyDescent="0.3">
      <c r="D234" s="1775"/>
      <c r="E234" s="1400" t="s">
        <v>140</v>
      </c>
      <c r="F234" s="814">
        <f>'VOC.1 '!Y75</f>
        <v>22092261.157959718</v>
      </c>
      <c r="G234" s="814">
        <v>36835680.60864336</v>
      </c>
      <c r="H234" s="814">
        <v>22092261.157959718</v>
      </c>
      <c r="K234" s="814">
        <f>'VOC.1 '!AC77</f>
        <v>13867705.859895691</v>
      </c>
    </row>
    <row r="235" spans="4:16" ht="14.4" x14ac:dyDescent="0.3">
      <c r="D235" s="1773" t="s">
        <v>996</v>
      </c>
      <c r="E235" s="1400" t="s">
        <v>573</v>
      </c>
      <c r="F235" s="814">
        <f>VOC.2!Q163</f>
        <v>-62636516.415781572</v>
      </c>
      <c r="G235" s="814">
        <v>-94655589.497414857</v>
      </c>
      <c r="H235" s="814">
        <v>-62636516.415781572</v>
      </c>
      <c r="K235" s="814">
        <f>VOC.2!U165</f>
        <v>24141781.613490019</v>
      </c>
    </row>
    <row r="236" spans="4:16" ht="14.4" x14ac:dyDescent="0.3">
      <c r="D236" s="1774"/>
      <c r="E236" s="1400" t="s">
        <v>574</v>
      </c>
      <c r="F236" s="814">
        <f>VOC.2!R163</f>
        <v>-29102338.713403534</v>
      </c>
      <c r="G236" s="814">
        <v>-44843909.148623146</v>
      </c>
      <c r="H236" s="814">
        <v>-29102338.713403534</v>
      </c>
      <c r="K236" s="814">
        <f>VOC.2!V165</f>
        <v>9140372.9502638411</v>
      </c>
    </row>
    <row r="237" spans="4:16" ht="14.4" x14ac:dyDescent="0.3">
      <c r="D237" s="1774"/>
      <c r="E237" s="1400" t="s">
        <v>575</v>
      </c>
      <c r="F237" s="814">
        <f>VOC.2!S163</f>
        <v>-20552061.519451384</v>
      </c>
      <c r="G237" s="814">
        <v>-31066473.506408643</v>
      </c>
      <c r="H237" s="814">
        <v>-20552061.519451384</v>
      </c>
      <c r="K237" s="814">
        <f>VOC.2!W165</f>
        <v>7911774.7298897579</v>
      </c>
    </row>
    <row r="238" spans="4:16" ht="14.4" x14ac:dyDescent="0.3">
      <c r="D238" s="1775"/>
      <c r="E238" s="1400" t="s">
        <v>140</v>
      </c>
      <c r="F238" s="814">
        <f>VOC.2!T163</f>
        <v>-30750771.821305592</v>
      </c>
      <c r="G238" s="814">
        <v>-36732511.713527277</v>
      </c>
      <c r="H238" s="814">
        <v>-30750771.821305592</v>
      </c>
      <c r="K238" s="814">
        <f>VOC.2!X165</f>
        <v>4651654.420661848</v>
      </c>
    </row>
    <row r="239" spans="4:16" ht="12.75" customHeight="1" x14ac:dyDescent="0.3">
      <c r="D239" s="1773" t="s">
        <v>342</v>
      </c>
      <c r="E239" s="1400" t="s">
        <v>573</v>
      </c>
      <c r="F239" s="814">
        <v>0</v>
      </c>
      <c r="G239" s="814">
        <v>0</v>
      </c>
      <c r="H239" s="814">
        <v>0</v>
      </c>
      <c r="K239" s="814">
        <v>0</v>
      </c>
    </row>
    <row r="240" spans="4:16" ht="12.75" customHeight="1" x14ac:dyDescent="0.3">
      <c r="D240" s="1774"/>
      <c r="E240" s="1400" t="s">
        <v>574</v>
      </c>
      <c r="F240" s="814">
        <v>0</v>
      </c>
      <c r="G240" s="814">
        <v>0</v>
      </c>
      <c r="H240" s="814">
        <v>0</v>
      </c>
      <c r="K240" s="814">
        <v>0</v>
      </c>
    </row>
    <row r="241" spans="4:13" ht="12.75" customHeight="1" x14ac:dyDescent="0.3">
      <c r="D241" s="1774"/>
      <c r="E241" s="1400" t="s">
        <v>575</v>
      </c>
      <c r="F241" s="814">
        <f>Safety.Costs!Q101</f>
        <v>-49068523.952062741</v>
      </c>
      <c r="G241" s="814">
        <v>-53268163.144421875</v>
      </c>
      <c r="H241" s="814">
        <v>-49068523.952062741</v>
      </c>
      <c r="K241" s="814">
        <f>Safety.Costs!U103</f>
        <v>3301498.1456812434</v>
      </c>
    </row>
    <row r="242" spans="4:13" ht="12.75" customHeight="1" x14ac:dyDescent="0.3">
      <c r="D242" s="1775"/>
      <c r="E242" s="1400" t="s">
        <v>140</v>
      </c>
      <c r="F242" s="814">
        <f>Safety.Costs!R101</f>
        <v>-35474975.999137104</v>
      </c>
      <c r="G242" s="814">
        <v>-36080110.480380416</v>
      </c>
      <c r="H242" s="814">
        <v>-35474975.999137104</v>
      </c>
      <c r="K242" s="814">
        <f>Safety.Costs!V103</f>
        <v>1126685.29858997</v>
      </c>
    </row>
    <row r="243" spans="4:13" ht="15" x14ac:dyDescent="0.25">
      <c r="D243" s="1700" t="s">
        <v>925</v>
      </c>
      <c r="E243" s="1401" t="s">
        <v>926</v>
      </c>
      <c r="F243" s="814">
        <f>'Maritime Safety'!N61</f>
        <v>-15294114.069890587</v>
      </c>
      <c r="G243" s="814">
        <v>-15294114.069890587</v>
      </c>
      <c r="H243" s="814">
        <v>-15294114.069890587</v>
      </c>
      <c r="K243" s="814">
        <f>'Maritime Safety'!P61</f>
        <v>15294114.069890587</v>
      </c>
    </row>
    <row r="244" spans="4:13" ht="15" x14ac:dyDescent="0.25">
      <c r="D244" s="1701" t="s">
        <v>676</v>
      </c>
      <c r="E244" s="1401" t="s">
        <v>998</v>
      </c>
      <c r="F244" s="814">
        <f>Tourism!H68</f>
        <v>76865115.377190039</v>
      </c>
      <c r="G244" s="814">
        <v>87362367.672059596</v>
      </c>
      <c r="H244" s="814">
        <v>76865115.377190039</v>
      </c>
      <c r="K244" s="814">
        <f>Tourism!S68</f>
        <v>1287876.6752066961</v>
      </c>
    </row>
    <row r="245" spans="4:13" ht="15" x14ac:dyDescent="0.25">
      <c r="D245" s="1701" t="s">
        <v>852</v>
      </c>
      <c r="E245" s="1401" t="s">
        <v>627</v>
      </c>
      <c r="F245" s="814">
        <f>BCA!D14*0.85</f>
        <v>536945000</v>
      </c>
      <c r="G245" s="814">
        <v>536945000</v>
      </c>
      <c r="H245" s="814">
        <v>536945000</v>
      </c>
      <c r="K245" s="814">
        <v>0</v>
      </c>
    </row>
    <row r="246" spans="4:13" ht="15" x14ac:dyDescent="0.25">
      <c r="D246" s="1701" t="s">
        <v>628</v>
      </c>
      <c r="E246" s="1424" t="s">
        <v>628</v>
      </c>
      <c r="F246" s="814">
        <f>ProjectCost!E91-ProjectCost!K47</f>
        <v>-167226831.4651452</v>
      </c>
      <c r="G246" s="814">
        <v>-167226831.4651452</v>
      </c>
      <c r="H246" s="814">
        <v>-167226831.4651452</v>
      </c>
      <c r="K246" s="814">
        <v>0</v>
      </c>
      <c r="M246" s="1599"/>
    </row>
    <row r="248" spans="4:13" ht="15" x14ac:dyDescent="0.25">
      <c r="D248" s="677"/>
      <c r="E248" s="1549"/>
      <c r="F248" s="1550"/>
      <c r="G248" s="1399" t="s">
        <v>639</v>
      </c>
      <c r="H248" s="1399" t="s">
        <v>660</v>
      </c>
      <c r="K248" s="1399" t="s">
        <v>583</v>
      </c>
    </row>
    <row r="249" spans="4:13" ht="30" x14ac:dyDescent="0.25">
      <c r="E249" s="1701" t="s">
        <v>1043</v>
      </c>
      <c r="G249" s="1746">
        <f>-SUM(G230,G234,G238,G242)</f>
        <v>316160098.26805007</v>
      </c>
      <c r="H249" s="1746">
        <f t="shared" ref="H249:K249" si="93">-SUM(H230,H234,H238,H242)</f>
        <v>276475629.9609741</v>
      </c>
      <c r="K249" s="1746">
        <f t="shared" si="93"/>
        <v>-59646753.511565216</v>
      </c>
    </row>
    <row r="250" spans="4:13" ht="45" x14ac:dyDescent="0.25">
      <c r="E250" s="1701" t="s">
        <v>1044</v>
      </c>
      <c r="G250" s="1746">
        <f>-SUM(G229,G233,G237,G241)</f>
        <v>502301898.22530919</v>
      </c>
      <c r="H250" s="1746">
        <f t="shared" ref="H250:K250" si="94">-SUM(H229,H233,H237,H241)</f>
        <v>371251425.33104527</v>
      </c>
      <c r="K250" s="1746">
        <f t="shared" si="94"/>
        <v>-118359571.17384617</v>
      </c>
    </row>
    <row r="251" spans="4:13" ht="45" x14ac:dyDescent="0.25">
      <c r="E251" s="1701" t="s">
        <v>1045</v>
      </c>
      <c r="G251" s="1746">
        <f>-G243</f>
        <v>15294114.069890587</v>
      </c>
      <c r="H251" s="1746">
        <f t="shared" ref="H251:K251" si="95">-H243</f>
        <v>15294114.069890587</v>
      </c>
      <c r="K251" s="1746">
        <f t="shared" si="95"/>
        <v>-15294114.069890587</v>
      </c>
    </row>
    <row r="252" spans="4:13" ht="45" x14ac:dyDescent="0.25">
      <c r="E252" s="1701" t="s">
        <v>1046</v>
      </c>
      <c r="G252" s="1746">
        <f>G244</f>
        <v>87362367.672059596</v>
      </c>
      <c r="H252" s="1746">
        <f t="shared" ref="H252" si="96">H244</f>
        <v>76865115.377190039</v>
      </c>
      <c r="K252" s="1746">
        <f>-K244</f>
        <v>-1287876.6752066961</v>
      </c>
    </row>
    <row r="253" spans="4:13" ht="30" x14ac:dyDescent="0.25">
      <c r="E253" s="1701" t="s">
        <v>1047</v>
      </c>
      <c r="G253" s="1746">
        <f>G246</f>
        <v>-167226831.4651452</v>
      </c>
      <c r="H253" s="1746">
        <f t="shared" ref="H253:K253" si="97">H246</f>
        <v>-167226831.4651452</v>
      </c>
      <c r="K253" s="1746">
        <f t="shared" si="97"/>
        <v>0</v>
      </c>
    </row>
    <row r="254" spans="4:13" ht="45" x14ac:dyDescent="0.25">
      <c r="E254" s="1701" t="s">
        <v>1048</v>
      </c>
      <c r="G254" s="1746">
        <f>G245</f>
        <v>536945000</v>
      </c>
      <c r="H254" s="1746">
        <f t="shared" ref="H254:K254" si="98">H245</f>
        <v>536945000</v>
      </c>
      <c r="K254" s="1746">
        <f t="shared" si="98"/>
        <v>0</v>
      </c>
    </row>
    <row r="255" spans="4:13" ht="30" x14ac:dyDescent="0.25">
      <c r="E255" s="1701" t="s">
        <v>1049</v>
      </c>
      <c r="G255" s="1746">
        <f>-SUM(G228,G231,G232,G235,G236)</f>
        <v>188445629.25037587</v>
      </c>
      <c r="H255" s="1746">
        <f t="shared" ref="H255:K255" si="99">-SUM(H228,H231,H232,H235,H236)</f>
        <v>128547319.69361927</v>
      </c>
      <c r="K255" s="1746">
        <f t="shared" si="99"/>
        <v>-182304664.06227967</v>
      </c>
    </row>
  </sheetData>
  <mergeCells count="73">
    <mergeCell ref="R63:R65"/>
    <mergeCell ref="S63:S65"/>
    <mergeCell ref="T63:T65"/>
    <mergeCell ref="V63:W63"/>
    <mergeCell ref="I63:I65"/>
    <mergeCell ref="J63:J65"/>
    <mergeCell ref="K63:K65"/>
    <mergeCell ref="M63:M65"/>
    <mergeCell ref="N63:O63"/>
    <mergeCell ref="L63:L65"/>
    <mergeCell ref="Q63:Q65"/>
    <mergeCell ref="U63:U65"/>
    <mergeCell ref="J34:J36"/>
    <mergeCell ref="K34:K36"/>
    <mergeCell ref="L34:L36"/>
    <mergeCell ref="M34:N34"/>
    <mergeCell ref="E5:E7"/>
    <mergeCell ref="F5:G5"/>
    <mergeCell ref="F34:G34"/>
    <mergeCell ref="I34:I36"/>
    <mergeCell ref="D5:D7"/>
    <mergeCell ref="E149:F149"/>
    <mergeCell ref="B63:B65"/>
    <mergeCell ref="B5:B7"/>
    <mergeCell ref="C5:C7"/>
    <mergeCell ref="B34:B36"/>
    <mergeCell ref="B121:B123"/>
    <mergeCell ref="C121:C123"/>
    <mergeCell ref="B149:B151"/>
    <mergeCell ref="B92:B94"/>
    <mergeCell ref="C92:C94"/>
    <mergeCell ref="C149:C151"/>
    <mergeCell ref="C34:C36"/>
    <mergeCell ref="D34:D36"/>
    <mergeCell ref="D63:D65"/>
    <mergeCell ref="C63:C65"/>
    <mergeCell ref="E63:E65"/>
    <mergeCell ref="E34:E36"/>
    <mergeCell ref="B147:F147"/>
    <mergeCell ref="B178:B180"/>
    <mergeCell ref="C178:C180"/>
    <mergeCell ref="D149:D151"/>
    <mergeCell ref="D92:D94"/>
    <mergeCell ref="D121:D123"/>
    <mergeCell ref="D178:D180"/>
    <mergeCell ref="F63:G63"/>
    <mergeCell ref="F178:G178"/>
    <mergeCell ref="E178:E180"/>
    <mergeCell ref="X92:Y92"/>
    <mergeCell ref="E92:F92"/>
    <mergeCell ref="I121:J121"/>
    <mergeCell ref="E121:E123"/>
    <mergeCell ref="F121:F123"/>
    <mergeCell ref="G121:G123"/>
    <mergeCell ref="H121:H123"/>
    <mergeCell ref="L123:M123"/>
    <mergeCell ref="H92:H94"/>
    <mergeCell ref="I92:I94"/>
    <mergeCell ref="J92:J94"/>
    <mergeCell ref="K92:L92"/>
    <mergeCell ref="M92:M94"/>
    <mergeCell ref="N92:O92"/>
    <mergeCell ref="P92:P94"/>
    <mergeCell ref="H149:H151"/>
    <mergeCell ref="I149:I151"/>
    <mergeCell ref="J149:J151"/>
    <mergeCell ref="K149:L149"/>
    <mergeCell ref="D227:D230"/>
    <mergeCell ref="D231:D234"/>
    <mergeCell ref="D239:D242"/>
    <mergeCell ref="D207:G207"/>
    <mergeCell ref="D223:J223"/>
    <mergeCell ref="D235:D23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00000"/>
  </sheetPr>
  <dimension ref="A1:X107"/>
  <sheetViews>
    <sheetView topLeftCell="B64" zoomScale="70" zoomScaleNormal="70" workbookViewId="0">
      <selection activeCell="F91" sqref="F91"/>
    </sheetView>
  </sheetViews>
  <sheetFormatPr defaultColWidth="9.109375" defaultRowHeight="13.8" x14ac:dyDescent="0.25"/>
  <cols>
    <col min="1" max="1" width="2.6640625" style="895" customWidth="1"/>
    <col min="2" max="2" width="8.88671875" style="895" bestFit="1" customWidth="1"/>
    <col min="3" max="3" width="17.88671875" style="1428" bestFit="1" customWidth="1"/>
    <col min="4" max="4" width="25" style="895" customWidth="1"/>
    <col min="5" max="5" width="18.6640625" style="895" customWidth="1"/>
    <col min="6" max="6" width="15.44140625" style="895" customWidth="1"/>
    <col min="7" max="7" width="19.44140625" style="895" customWidth="1"/>
    <col min="8" max="8" width="18.109375" style="895" bestFit="1" customWidth="1"/>
    <col min="9" max="9" width="19.109375" style="895" customWidth="1"/>
    <col min="10" max="10" width="17" style="895" bestFit="1" customWidth="1"/>
    <col min="11" max="11" width="18.33203125" style="895" bestFit="1" customWidth="1"/>
    <col min="12" max="12" width="18.6640625" style="895" customWidth="1"/>
    <col min="13" max="13" width="17.6640625" style="895" customWidth="1"/>
    <col min="14" max="14" width="15.44140625" style="895" bestFit="1" customWidth="1"/>
    <col min="15" max="15" width="23.88671875" style="895" bestFit="1" customWidth="1"/>
    <col min="16" max="16" width="21.44140625" style="895" bestFit="1" customWidth="1"/>
    <col min="17" max="17" width="19.44140625" style="895" bestFit="1" customWidth="1"/>
    <col min="18" max="20" width="21" style="895" customWidth="1"/>
    <col min="21" max="21" width="20.33203125" style="895" customWidth="1"/>
    <col min="22" max="22" width="18.5546875" style="895" customWidth="1"/>
    <col min="23" max="23" width="18.109375" style="895" customWidth="1"/>
    <col min="24" max="24" width="21.44140625" style="895" customWidth="1"/>
    <col min="25" max="25" width="13.5546875" style="895" bestFit="1" customWidth="1"/>
    <col min="26" max="16384" width="9.109375" style="895"/>
  </cols>
  <sheetData>
    <row r="1" spans="2:24" ht="26.25" x14ac:dyDescent="0.2">
      <c r="C1" s="944" t="s">
        <v>712</v>
      </c>
    </row>
    <row r="3" spans="2:24" ht="15" customHeight="1" thickBot="1" x14ac:dyDescent="0.25"/>
    <row r="4" spans="2:24" ht="15" customHeight="1" x14ac:dyDescent="0.2">
      <c r="C4" s="1429" t="s">
        <v>447</v>
      </c>
      <c r="D4" s="1430">
        <v>7.0000000000000007E-2</v>
      </c>
      <c r="F4" s="1431"/>
      <c r="G4" s="1431"/>
      <c r="H4" s="1431"/>
      <c r="I4" s="1431"/>
      <c r="J4" s="1431"/>
      <c r="K4" s="1431"/>
      <c r="L4" s="1431"/>
      <c r="M4" s="1431"/>
      <c r="N4" s="1431"/>
      <c r="O4" s="1431"/>
    </row>
    <row r="5" spans="2:24" ht="15" customHeight="1" thickBot="1" x14ac:dyDescent="0.25">
      <c r="C5" s="1432" t="s">
        <v>447</v>
      </c>
      <c r="D5" s="1433">
        <v>0.03</v>
      </c>
      <c r="F5" s="1431"/>
      <c r="G5" s="1431"/>
      <c r="H5" s="1431"/>
      <c r="I5" s="1431"/>
      <c r="J5" s="1431"/>
      <c r="K5" s="1431"/>
      <c r="L5" s="1431"/>
      <c r="M5" s="1431"/>
      <c r="N5" s="1431"/>
      <c r="O5" s="1431"/>
    </row>
    <row r="6" spans="2:24" s="1431" customFormat="1" ht="15" customHeight="1" x14ac:dyDescent="0.2">
      <c r="C6" s="1434"/>
      <c r="D6" s="1435"/>
    </row>
    <row r="7" spans="2:24" s="1431" customFormat="1" ht="15" customHeight="1" x14ac:dyDescent="0.25">
      <c r="C7" s="1436" t="s">
        <v>622</v>
      </c>
      <c r="D7" s="1437">
        <v>631700000</v>
      </c>
    </row>
    <row r="8" spans="2:24" s="1431" customFormat="1" ht="15" customHeight="1" x14ac:dyDescent="0.2"/>
    <row r="9" spans="2:24" s="1431" customFormat="1" ht="15" customHeight="1" x14ac:dyDescent="0.2"/>
    <row r="10" spans="2:24" s="1431" customFormat="1" ht="15" customHeight="1" x14ac:dyDescent="0.2"/>
    <row r="11" spans="2:24" s="1431" customFormat="1" ht="15" customHeight="1" x14ac:dyDescent="0.2"/>
    <row r="12" spans="2:24" s="1431" customFormat="1" ht="15" customHeight="1" x14ac:dyDescent="0.2"/>
    <row r="13" spans="2:24" s="1431" customFormat="1" ht="15" customHeight="1" x14ac:dyDescent="0.2"/>
    <row r="14" spans="2:24" ht="15" customHeight="1" x14ac:dyDescent="0.2">
      <c r="B14" s="1431"/>
      <c r="C14" s="1431"/>
      <c r="D14" s="1431"/>
      <c r="E14" s="1431"/>
      <c r="F14" s="1431"/>
      <c r="G14" s="1431"/>
      <c r="H14" s="1431"/>
      <c r="I14" s="1431"/>
      <c r="J14" s="1431"/>
      <c r="K14" s="1431"/>
      <c r="L14" s="1431"/>
    </row>
    <row r="15" spans="2:24" ht="15" customHeight="1" x14ac:dyDescent="0.2">
      <c r="B15" s="1409" t="s">
        <v>182</v>
      </c>
      <c r="C15" s="1409" t="s">
        <v>180</v>
      </c>
      <c r="D15" s="1409" t="s">
        <v>178</v>
      </c>
      <c r="E15" s="1409" t="s">
        <v>268</v>
      </c>
      <c r="F15" s="1405" t="s">
        <v>269</v>
      </c>
      <c r="G15" s="1405" t="s">
        <v>270</v>
      </c>
      <c r="H15" s="1405" t="s">
        <v>271</v>
      </c>
      <c r="I15" s="988" t="s">
        <v>273</v>
      </c>
      <c r="J15" s="1405" t="s">
        <v>271</v>
      </c>
      <c r="K15" s="988" t="s">
        <v>273</v>
      </c>
      <c r="T15" s="1595" t="s">
        <v>182</v>
      </c>
      <c r="U15" s="1595" t="s">
        <v>180</v>
      </c>
      <c r="V15" s="1794" t="s">
        <v>857</v>
      </c>
      <c r="W15" s="1794"/>
      <c r="X15" s="1794"/>
    </row>
    <row r="16" spans="2:24" ht="18.75" customHeight="1" x14ac:dyDescent="0.25">
      <c r="B16" s="1792" t="s">
        <v>7</v>
      </c>
      <c r="C16" s="1793" t="s">
        <v>275</v>
      </c>
      <c r="D16" s="1793" t="s">
        <v>448</v>
      </c>
      <c r="E16" s="1793" t="s">
        <v>890</v>
      </c>
      <c r="F16" s="1793"/>
      <c r="G16" s="1793"/>
      <c r="H16" s="1793"/>
      <c r="I16" s="1793"/>
      <c r="J16" s="1793"/>
      <c r="K16" s="1793"/>
      <c r="R16" s="1409" t="s">
        <v>503</v>
      </c>
      <c r="S16" s="677"/>
      <c r="T16" s="1792" t="s">
        <v>7</v>
      </c>
      <c r="U16" s="1793" t="s">
        <v>275</v>
      </c>
      <c r="V16" s="1795" t="s">
        <v>959</v>
      </c>
      <c r="W16" s="1795" t="s">
        <v>960</v>
      </c>
      <c r="X16" s="1795" t="s">
        <v>961</v>
      </c>
    </row>
    <row r="17" spans="1:24" ht="54" customHeight="1" x14ac:dyDescent="0.25">
      <c r="B17" s="1792"/>
      <c r="C17" s="1793"/>
      <c r="D17" s="1793"/>
      <c r="E17" s="1438" t="s">
        <v>449</v>
      </c>
      <c r="F17" s="1438" t="s">
        <v>450</v>
      </c>
      <c r="G17" s="1438" t="s">
        <v>529</v>
      </c>
      <c r="H17" s="1438" t="s">
        <v>886</v>
      </c>
      <c r="I17" s="1438" t="s">
        <v>889</v>
      </c>
      <c r="J17" s="1438" t="s">
        <v>891</v>
      </c>
      <c r="K17" s="1438" t="s">
        <v>896</v>
      </c>
      <c r="M17" s="1615" t="s">
        <v>888</v>
      </c>
      <c r="N17" s="951" t="s">
        <v>7</v>
      </c>
      <c r="O17" s="951" t="s">
        <v>892</v>
      </c>
      <c r="P17" s="951" t="s">
        <v>893</v>
      </c>
      <c r="Q17" s="1467" t="s">
        <v>894</v>
      </c>
      <c r="R17" s="951" t="s">
        <v>895</v>
      </c>
      <c r="S17" s="1596"/>
      <c r="T17" s="1792"/>
      <c r="U17" s="1793"/>
      <c r="V17" s="1796"/>
      <c r="W17" s="1796"/>
      <c r="X17" s="1796"/>
    </row>
    <row r="18" spans="1:24" ht="15" customHeight="1" x14ac:dyDescent="0.25">
      <c r="A18" s="1439"/>
      <c r="B18" s="1055"/>
      <c r="C18" s="1055"/>
      <c r="D18" s="1055"/>
      <c r="E18" s="1055"/>
      <c r="F18" s="1055"/>
      <c r="G18" s="1055"/>
      <c r="H18" s="1055"/>
      <c r="I18" s="1055"/>
      <c r="J18" s="1055"/>
      <c r="K18" s="1055"/>
      <c r="M18" s="1055"/>
      <c r="N18" s="1441">
        <v>2014</v>
      </c>
      <c r="O18" s="1443">
        <v>110000</v>
      </c>
      <c r="P18" s="1443">
        <v>700000</v>
      </c>
      <c r="Q18" s="1443">
        <v>1600000</v>
      </c>
      <c r="R18" s="1055"/>
      <c r="S18" s="949"/>
      <c r="T18" s="1055"/>
      <c r="U18" s="1055"/>
      <c r="V18" s="1055"/>
      <c r="W18" s="1055"/>
      <c r="X18" s="1055"/>
    </row>
    <row r="19" spans="1:24" ht="15" customHeight="1" x14ac:dyDescent="0.25">
      <c r="A19" s="1439"/>
      <c r="B19" s="1440">
        <v>0</v>
      </c>
      <c r="C19" s="1441">
        <v>2016</v>
      </c>
      <c r="D19" s="1441" t="s">
        <v>881</v>
      </c>
      <c r="E19" s="1442">
        <v>0</v>
      </c>
      <c r="F19" s="1442">
        <v>0</v>
      </c>
      <c r="G19" s="1442">
        <v>0</v>
      </c>
      <c r="H19" s="1442">
        <f t="shared" ref="H19:H20" si="0">R19*$H$52</f>
        <v>0</v>
      </c>
      <c r="I19" s="1442">
        <f t="shared" ref="I19:I20" si="1">SUM(E19:H19)</f>
        <v>0</v>
      </c>
      <c r="J19" s="1442">
        <v>0</v>
      </c>
      <c r="K19" s="1466">
        <f>J19</f>
        <v>0</v>
      </c>
      <c r="M19" s="1055"/>
      <c r="N19" s="1441">
        <v>2016</v>
      </c>
      <c r="O19" s="1443">
        <f>O18*'CPI Factors'!J33/'CPI Factors'!J31</f>
        <v>111536.0399261102</v>
      </c>
      <c r="P19" s="1443">
        <f>P18*'CPI Factors'!J33/'CPI Factors'!J31</f>
        <v>709774.79952979228</v>
      </c>
      <c r="Q19" s="1443">
        <f>Q18*'CPI Factors'!J33/'CPI Factors'!J31</f>
        <v>1622342.3989252392</v>
      </c>
      <c r="R19" s="1055"/>
      <c r="S19" s="949"/>
      <c r="T19" s="1440">
        <v>0</v>
      </c>
      <c r="U19" s="1441">
        <v>2016</v>
      </c>
      <c r="V19" s="1443">
        <v>91926857.5</v>
      </c>
      <c r="W19" s="1443"/>
      <c r="X19" s="1443">
        <f>V19+W19</f>
        <v>91926857.5</v>
      </c>
    </row>
    <row r="20" spans="1:24" ht="15" customHeight="1" x14ac:dyDescent="0.25">
      <c r="A20" s="1439"/>
      <c r="B20" s="1440">
        <v>1</v>
      </c>
      <c r="C20" s="1441">
        <v>2017</v>
      </c>
      <c r="D20" s="1441" t="s">
        <v>881</v>
      </c>
      <c r="E20" s="1442">
        <v>0</v>
      </c>
      <c r="F20" s="1442">
        <v>0</v>
      </c>
      <c r="G20" s="1442">
        <v>0</v>
      </c>
      <c r="H20" s="1442">
        <f t="shared" si="0"/>
        <v>0</v>
      </c>
      <c r="I20" s="1442">
        <f t="shared" si="1"/>
        <v>0</v>
      </c>
      <c r="J20" s="1442">
        <f>X20</f>
        <v>0</v>
      </c>
      <c r="K20" s="1466">
        <f t="shared" ref="K20:K46" si="2">J20</f>
        <v>0</v>
      </c>
      <c r="M20" s="1055"/>
      <c r="N20" s="1441">
        <v>2017</v>
      </c>
      <c r="O20" s="1443"/>
      <c r="P20" s="1443"/>
      <c r="Q20" s="1443"/>
      <c r="R20" s="1055"/>
      <c r="S20" s="949"/>
      <c r="T20" s="1440">
        <v>1</v>
      </c>
      <c r="U20" s="1441">
        <v>2017</v>
      </c>
      <c r="V20" s="1443"/>
      <c r="W20" s="1443"/>
      <c r="X20" s="1443">
        <f t="shared" ref="X20:X46" si="3">V20+W20</f>
        <v>0</v>
      </c>
    </row>
    <row r="21" spans="1:24" ht="15" customHeight="1" x14ac:dyDescent="0.2">
      <c r="B21" s="1440">
        <v>2</v>
      </c>
      <c r="C21" s="1441">
        <v>2018</v>
      </c>
      <c r="D21" s="1441" t="s">
        <v>881</v>
      </c>
      <c r="E21" s="1442">
        <v>0</v>
      </c>
      <c r="F21" s="1442">
        <v>0</v>
      </c>
      <c r="G21" s="1442">
        <v>0</v>
      </c>
      <c r="H21" s="1442">
        <f t="shared" ref="H21:H43" si="4">R21*$H$52</f>
        <v>0</v>
      </c>
      <c r="I21" s="1442">
        <f t="shared" ref="I21:I43" si="5">SUM(E21:H21)</f>
        <v>0</v>
      </c>
      <c r="J21" s="1442">
        <f>X21</f>
        <v>0</v>
      </c>
      <c r="K21" s="1466">
        <f t="shared" si="2"/>
        <v>0</v>
      </c>
      <c r="M21" s="1055"/>
      <c r="N21" s="1441">
        <v>2018</v>
      </c>
      <c r="O21" s="1443"/>
      <c r="P21" s="1443"/>
      <c r="Q21" s="1443"/>
      <c r="R21" s="1055"/>
      <c r="S21" s="949"/>
      <c r="T21" s="1440">
        <v>2</v>
      </c>
      <c r="U21" s="1441">
        <v>2018</v>
      </c>
      <c r="V21" s="1443"/>
      <c r="W21" s="1443"/>
      <c r="X21" s="1443">
        <f t="shared" si="3"/>
        <v>0</v>
      </c>
    </row>
    <row r="22" spans="1:24" ht="15" customHeight="1" x14ac:dyDescent="0.2">
      <c r="B22" s="1440">
        <v>3</v>
      </c>
      <c r="C22" s="1441">
        <v>2019</v>
      </c>
      <c r="D22" s="1441" t="s">
        <v>618</v>
      </c>
      <c r="E22" s="1442">
        <v>0</v>
      </c>
      <c r="F22" s="1442">
        <v>0</v>
      </c>
      <c r="G22" s="1442">
        <f>IF(BCA!I8=1,0,$D$7/4)</f>
        <v>157925000</v>
      </c>
      <c r="H22" s="1442">
        <f t="shared" si="4"/>
        <v>0</v>
      </c>
      <c r="I22" s="1442">
        <f t="shared" si="5"/>
        <v>157925000</v>
      </c>
      <c r="J22" s="1442">
        <f>X22</f>
        <v>0</v>
      </c>
      <c r="K22" s="1466">
        <f t="shared" si="2"/>
        <v>0</v>
      </c>
      <c r="M22" s="1055"/>
      <c r="N22" s="1441">
        <v>2019</v>
      </c>
      <c r="O22" s="1443"/>
      <c r="P22" s="1443"/>
      <c r="Q22" s="1443"/>
      <c r="R22" s="1055"/>
      <c r="S22" s="949"/>
      <c r="T22" s="1440">
        <v>3</v>
      </c>
      <c r="U22" s="1441">
        <v>2019</v>
      </c>
      <c r="V22" s="1443"/>
      <c r="W22" s="1443"/>
      <c r="X22" s="1443">
        <f t="shared" si="3"/>
        <v>0</v>
      </c>
    </row>
    <row r="23" spans="1:24" ht="15" customHeight="1" x14ac:dyDescent="0.2">
      <c r="B23" s="1440">
        <v>4</v>
      </c>
      <c r="C23" s="1441">
        <v>2020</v>
      </c>
      <c r="D23" s="1441" t="s">
        <v>619</v>
      </c>
      <c r="E23" s="1442">
        <v>0</v>
      </c>
      <c r="F23" s="1442">
        <v>0</v>
      </c>
      <c r="G23" s="1442">
        <f>IF(BCA!I8=1,0,$D$7/4)</f>
        <v>157925000</v>
      </c>
      <c r="H23" s="1442">
        <f t="shared" si="4"/>
        <v>0</v>
      </c>
      <c r="I23" s="1442">
        <f t="shared" si="5"/>
        <v>157925000</v>
      </c>
      <c r="J23" s="1442">
        <f>X23</f>
        <v>0</v>
      </c>
      <c r="K23" s="1466">
        <f t="shared" si="2"/>
        <v>0</v>
      </c>
      <c r="M23" s="1055"/>
      <c r="N23" s="1441">
        <v>2020</v>
      </c>
      <c r="O23" s="1443"/>
      <c r="P23" s="1443"/>
      <c r="Q23" s="1443"/>
      <c r="R23" s="1443"/>
      <c r="S23" s="1597"/>
      <c r="T23" s="1440">
        <v>4</v>
      </c>
      <c r="U23" s="1441">
        <v>2020</v>
      </c>
      <c r="V23" s="1443"/>
      <c r="W23" s="1443"/>
      <c r="X23" s="1443">
        <f t="shared" si="3"/>
        <v>0</v>
      </c>
    </row>
    <row r="24" spans="1:24" ht="15" customHeight="1" x14ac:dyDescent="0.2">
      <c r="B24" s="1440">
        <v>5</v>
      </c>
      <c r="C24" s="1441">
        <v>2021</v>
      </c>
      <c r="D24" s="1441" t="s">
        <v>620</v>
      </c>
      <c r="E24" s="1442">
        <v>0</v>
      </c>
      <c r="F24" s="1442">
        <v>0</v>
      </c>
      <c r="G24" s="1442">
        <f>IF(BCA!I8=1,0,$D$7/4)</f>
        <v>157925000</v>
      </c>
      <c r="H24" s="1442">
        <f t="shared" si="4"/>
        <v>0</v>
      </c>
      <c r="I24" s="1442">
        <f t="shared" si="5"/>
        <v>157925000</v>
      </c>
      <c r="J24" s="1442">
        <f>X24</f>
        <v>0</v>
      </c>
      <c r="K24" s="1466">
        <f t="shared" si="2"/>
        <v>0</v>
      </c>
      <c r="M24" s="1055"/>
      <c r="N24" s="1441">
        <v>2021</v>
      </c>
      <c r="O24" s="1443"/>
      <c r="P24" s="1443"/>
      <c r="Q24" s="1443"/>
      <c r="R24" s="1443"/>
      <c r="S24" s="1597"/>
      <c r="T24" s="1440">
        <v>5</v>
      </c>
      <c r="U24" s="1441">
        <v>2021</v>
      </c>
      <c r="V24" s="1443"/>
      <c r="W24" s="1443"/>
      <c r="X24" s="1443">
        <f t="shared" si="3"/>
        <v>0</v>
      </c>
    </row>
    <row r="25" spans="1:24" ht="15" customHeight="1" x14ac:dyDescent="0.2">
      <c r="B25" s="1440">
        <v>6</v>
      </c>
      <c r="C25" s="1441">
        <v>2022</v>
      </c>
      <c r="D25" s="1441" t="s">
        <v>621</v>
      </c>
      <c r="E25" s="1442">
        <v>0</v>
      </c>
      <c r="F25" s="1442">
        <v>0</v>
      </c>
      <c r="G25" s="1442">
        <f>IF(BCA!I8=1,0,$D$7/4)</f>
        <v>157925000</v>
      </c>
      <c r="H25" s="1442">
        <f t="shared" si="4"/>
        <v>0</v>
      </c>
      <c r="I25" s="1442">
        <f t="shared" si="5"/>
        <v>157925000</v>
      </c>
      <c r="J25" s="1442">
        <f>X19/2</f>
        <v>45963428.75</v>
      </c>
      <c r="K25" s="1466">
        <f t="shared" si="2"/>
        <v>45963428.75</v>
      </c>
      <c r="M25" s="1055"/>
      <c r="N25" s="1441">
        <v>2022</v>
      </c>
      <c r="O25" s="1443"/>
      <c r="P25" s="1443"/>
      <c r="Q25" s="1443"/>
      <c r="R25" s="1443"/>
      <c r="S25" s="1597"/>
      <c r="T25" s="1440">
        <v>6</v>
      </c>
      <c r="U25" s="1441">
        <v>2022</v>
      </c>
      <c r="V25" s="1443"/>
      <c r="W25" s="1443"/>
      <c r="X25" s="1443">
        <f t="shared" si="3"/>
        <v>0</v>
      </c>
    </row>
    <row r="26" spans="1:24" ht="15" customHeight="1" x14ac:dyDescent="0.2">
      <c r="B26" s="1440">
        <v>7</v>
      </c>
      <c r="C26" s="1441">
        <v>2023</v>
      </c>
      <c r="D26" s="1441" t="s">
        <v>881</v>
      </c>
      <c r="E26" s="1442">
        <v>0</v>
      </c>
      <c r="F26" s="1442">
        <v>0</v>
      </c>
      <c r="G26" s="1442">
        <v>0</v>
      </c>
      <c r="H26" s="1442">
        <f t="shared" si="4"/>
        <v>0</v>
      </c>
      <c r="I26" s="1442">
        <f t="shared" si="5"/>
        <v>0</v>
      </c>
      <c r="J26" s="1442">
        <f>X19/2</f>
        <v>45963428.75</v>
      </c>
      <c r="K26" s="1466">
        <f t="shared" si="2"/>
        <v>45963428.75</v>
      </c>
      <c r="M26" s="1055">
        <v>1</v>
      </c>
      <c r="N26" s="1441">
        <v>2023</v>
      </c>
      <c r="O26" s="1443">
        <f>$O$19</f>
        <v>111536.0399261102</v>
      </c>
      <c r="P26" s="1443">
        <f>$P$19</f>
        <v>709774.79952979228</v>
      </c>
      <c r="Q26" s="1443">
        <f>$Q$19</f>
        <v>1622342.3989252392</v>
      </c>
      <c r="R26" s="1055">
        <v>0</v>
      </c>
      <c r="S26" s="949"/>
      <c r="T26" s="1440">
        <v>7</v>
      </c>
      <c r="U26" s="1441">
        <v>2023</v>
      </c>
      <c r="V26" s="1443"/>
      <c r="W26" s="1443"/>
      <c r="X26" s="1443">
        <f t="shared" si="3"/>
        <v>0</v>
      </c>
    </row>
    <row r="27" spans="1:24" ht="15" customHeight="1" x14ac:dyDescent="0.2">
      <c r="B27" s="1440">
        <v>8</v>
      </c>
      <c r="C27" s="1441">
        <v>2024</v>
      </c>
      <c r="D27" s="1441" t="s">
        <v>881</v>
      </c>
      <c r="E27" s="1442">
        <v>0</v>
      </c>
      <c r="F27" s="1442">
        <v>0</v>
      </c>
      <c r="G27" s="1442">
        <v>0</v>
      </c>
      <c r="H27" s="1442">
        <f t="shared" si="4"/>
        <v>0</v>
      </c>
      <c r="I27" s="1442">
        <f t="shared" si="5"/>
        <v>0</v>
      </c>
      <c r="J27" s="1442">
        <f t="shared" ref="J27:J32" si="6">X27</f>
        <v>0</v>
      </c>
      <c r="K27" s="1466">
        <f t="shared" si="2"/>
        <v>0</v>
      </c>
      <c r="M27" s="1055">
        <v>2</v>
      </c>
      <c r="N27" s="1441">
        <v>2024</v>
      </c>
      <c r="O27" s="1443">
        <f t="shared" ref="O27:O46" si="7">$O$19</f>
        <v>111536.0399261102</v>
      </c>
      <c r="P27" s="1443">
        <f t="shared" ref="P27:P46" si="8">$P$19</f>
        <v>709774.79952979228</v>
      </c>
      <c r="Q27" s="1443">
        <f t="shared" ref="Q27:Q46" si="9">$Q$19</f>
        <v>1622342.3989252392</v>
      </c>
      <c r="R27" s="1055">
        <v>0</v>
      </c>
      <c r="S27" s="949"/>
      <c r="T27" s="1440">
        <v>8</v>
      </c>
      <c r="U27" s="1441">
        <v>2024</v>
      </c>
      <c r="V27" s="1443"/>
      <c r="W27" s="1443"/>
      <c r="X27" s="1443">
        <f t="shared" si="3"/>
        <v>0</v>
      </c>
    </row>
    <row r="28" spans="1:24" ht="15" customHeight="1" x14ac:dyDescent="0.2">
      <c r="B28" s="1440">
        <v>9</v>
      </c>
      <c r="C28" s="1441">
        <v>2025</v>
      </c>
      <c r="D28" s="1441" t="s">
        <v>881</v>
      </c>
      <c r="E28" s="1442">
        <v>0</v>
      </c>
      <c r="F28" s="1442">
        <v>0</v>
      </c>
      <c r="G28" s="1442">
        <v>0</v>
      </c>
      <c r="H28" s="1442">
        <f t="shared" si="4"/>
        <v>0</v>
      </c>
      <c r="I28" s="1442">
        <f t="shared" si="5"/>
        <v>0</v>
      </c>
      <c r="J28" s="1442">
        <f t="shared" si="6"/>
        <v>0</v>
      </c>
      <c r="K28" s="1466">
        <f t="shared" si="2"/>
        <v>0</v>
      </c>
      <c r="M28" s="1055">
        <v>3</v>
      </c>
      <c r="N28" s="1441">
        <v>2025</v>
      </c>
      <c r="O28" s="1443">
        <f t="shared" si="7"/>
        <v>111536.0399261102</v>
      </c>
      <c r="P28" s="1443">
        <f t="shared" si="8"/>
        <v>709774.79952979228</v>
      </c>
      <c r="Q28" s="1443">
        <f t="shared" si="9"/>
        <v>1622342.3989252392</v>
      </c>
      <c r="R28" s="1055">
        <v>0</v>
      </c>
      <c r="S28" s="949"/>
      <c r="T28" s="1440">
        <v>9</v>
      </c>
      <c r="U28" s="1441">
        <v>2025</v>
      </c>
      <c r="V28" s="1443"/>
      <c r="W28" s="1443"/>
      <c r="X28" s="1443">
        <f t="shared" si="3"/>
        <v>0</v>
      </c>
    </row>
    <row r="29" spans="1:24" ht="15" customHeight="1" x14ac:dyDescent="0.2">
      <c r="B29" s="1440">
        <v>10</v>
      </c>
      <c r="C29" s="1441">
        <v>2026</v>
      </c>
      <c r="D29" s="1441" t="s">
        <v>881</v>
      </c>
      <c r="E29" s="1442">
        <v>0</v>
      </c>
      <c r="F29" s="1442">
        <v>0</v>
      </c>
      <c r="G29" s="1442">
        <v>0</v>
      </c>
      <c r="H29" s="1442">
        <f t="shared" si="4"/>
        <v>0</v>
      </c>
      <c r="I29" s="1442">
        <f t="shared" si="5"/>
        <v>0</v>
      </c>
      <c r="J29" s="1442">
        <f t="shared" si="6"/>
        <v>23120253</v>
      </c>
      <c r="K29" s="1466">
        <f t="shared" si="2"/>
        <v>23120253</v>
      </c>
      <c r="M29" s="1055">
        <v>4</v>
      </c>
      <c r="N29" s="1441">
        <v>2026</v>
      </c>
      <c r="O29" s="1443">
        <f t="shared" si="7"/>
        <v>111536.0399261102</v>
      </c>
      <c r="P29" s="1443">
        <f t="shared" si="8"/>
        <v>709774.79952979228</v>
      </c>
      <c r="Q29" s="1443">
        <f t="shared" si="9"/>
        <v>1622342.3989252392</v>
      </c>
      <c r="R29" s="1055">
        <v>0</v>
      </c>
      <c r="S29" s="949"/>
      <c r="T29" s="1440">
        <v>10</v>
      </c>
      <c r="U29" s="1441">
        <v>2026</v>
      </c>
      <c r="V29" s="1443">
        <v>23120253</v>
      </c>
      <c r="W29" s="1443"/>
      <c r="X29" s="1443">
        <f t="shared" si="3"/>
        <v>23120253</v>
      </c>
    </row>
    <row r="30" spans="1:24" ht="15" customHeight="1" x14ac:dyDescent="0.2">
      <c r="B30" s="1440">
        <v>11</v>
      </c>
      <c r="C30" s="1441">
        <v>2027</v>
      </c>
      <c r="D30" s="1441" t="s">
        <v>881</v>
      </c>
      <c r="E30" s="1442">
        <v>0</v>
      </c>
      <c r="F30" s="1442">
        <v>0</v>
      </c>
      <c r="G30" s="1442">
        <v>0</v>
      </c>
      <c r="H30" s="1442">
        <f t="shared" si="4"/>
        <v>0</v>
      </c>
      <c r="I30" s="1442">
        <f t="shared" si="5"/>
        <v>0</v>
      </c>
      <c r="J30" s="1442">
        <f t="shared" si="6"/>
        <v>0</v>
      </c>
      <c r="K30" s="1466">
        <f t="shared" si="2"/>
        <v>0</v>
      </c>
      <c r="M30" s="1055">
        <v>5</v>
      </c>
      <c r="N30" s="1441">
        <v>2027</v>
      </c>
      <c r="O30" s="1443">
        <f t="shared" si="7"/>
        <v>111536.0399261102</v>
      </c>
      <c r="P30" s="1443">
        <f t="shared" si="8"/>
        <v>709774.79952979228</v>
      </c>
      <c r="Q30" s="1443">
        <f t="shared" si="9"/>
        <v>1622342.3989252392</v>
      </c>
      <c r="R30" s="1055">
        <v>0</v>
      </c>
      <c r="S30" s="949"/>
      <c r="T30" s="1440">
        <v>11</v>
      </c>
      <c r="U30" s="1441">
        <v>2027</v>
      </c>
      <c r="V30" s="1443"/>
      <c r="W30" s="1443"/>
      <c r="X30" s="1443">
        <f t="shared" si="3"/>
        <v>0</v>
      </c>
    </row>
    <row r="31" spans="1:24" ht="15" customHeight="1" x14ac:dyDescent="0.2">
      <c r="B31" s="1440">
        <v>12</v>
      </c>
      <c r="C31" s="1441">
        <v>2028</v>
      </c>
      <c r="D31" s="1441" t="s">
        <v>881</v>
      </c>
      <c r="E31" s="1442">
        <v>0</v>
      </c>
      <c r="F31" s="1442">
        <v>0</v>
      </c>
      <c r="G31" s="1442">
        <v>0</v>
      </c>
      <c r="H31" s="1442">
        <f t="shared" si="4"/>
        <v>0</v>
      </c>
      <c r="I31" s="1442">
        <f t="shared" si="5"/>
        <v>0</v>
      </c>
      <c r="J31" s="1442">
        <f t="shared" si="6"/>
        <v>0</v>
      </c>
      <c r="K31" s="1466">
        <f t="shared" si="2"/>
        <v>0</v>
      </c>
      <c r="M31" s="1055">
        <v>6</v>
      </c>
      <c r="N31" s="1441">
        <v>2028</v>
      </c>
      <c r="O31" s="1443">
        <f t="shared" si="7"/>
        <v>111536.0399261102</v>
      </c>
      <c r="P31" s="1443">
        <f t="shared" si="8"/>
        <v>709774.79952979228</v>
      </c>
      <c r="Q31" s="1443">
        <f t="shared" si="9"/>
        <v>1622342.3989252392</v>
      </c>
      <c r="R31" s="1055">
        <v>0</v>
      </c>
      <c r="S31" s="949"/>
      <c r="T31" s="1440">
        <v>12</v>
      </c>
      <c r="U31" s="1441">
        <v>2028</v>
      </c>
      <c r="V31" s="1443"/>
      <c r="W31" s="1443"/>
      <c r="X31" s="1443">
        <f t="shared" si="3"/>
        <v>0</v>
      </c>
    </row>
    <row r="32" spans="1:24" ht="15" customHeight="1" x14ac:dyDescent="0.2">
      <c r="B32" s="1440">
        <v>13</v>
      </c>
      <c r="C32" s="1441">
        <v>2029</v>
      </c>
      <c r="D32" s="1441" t="s">
        <v>881</v>
      </c>
      <c r="E32" s="1442">
        <v>0</v>
      </c>
      <c r="F32" s="1442">
        <v>0</v>
      </c>
      <c r="G32" s="1442">
        <v>0</v>
      </c>
      <c r="H32" s="1442">
        <f t="shared" si="4"/>
        <v>8365202.9944582647</v>
      </c>
      <c r="I32" s="1442">
        <f t="shared" si="5"/>
        <v>8365202.9944582647</v>
      </c>
      <c r="J32" s="1442">
        <f t="shared" si="6"/>
        <v>0</v>
      </c>
      <c r="K32" s="1466">
        <f t="shared" si="2"/>
        <v>0</v>
      </c>
      <c r="M32" s="1055">
        <v>7</v>
      </c>
      <c r="N32" s="1441">
        <v>2029</v>
      </c>
      <c r="O32" s="1443">
        <f t="shared" si="7"/>
        <v>111536.0399261102</v>
      </c>
      <c r="P32" s="1443">
        <f t="shared" si="8"/>
        <v>709774.79952979228</v>
      </c>
      <c r="Q32" s="1443">
        <f t="shared" si="9"/>
        <v>1622342.3989252392</v>
      </c>
      <c r="R32" s="1444">
        <f>O32</f>
        <v>111536.0399261102</v>
      </c>
      <c r="S32" s="1598"/>
      <c r="T32" s="1440">
        <v>13</v>
      </c>
      <c r="U32" s="1441">
        <v>2029</v>
      </c>
      <c r="V32" s="1443"/>
      <c r="W32" s="1443"/>
      <c r="X32" s="1443">
        <f t="shared" si="3"/>
        <v>0</v>
      </c>
    </row>
    <row r="33" spans="2:24" ht="15" customHeight="1" x14ac:dyDescent="0.2">
      <c r="B33" s="1440">
        <v>14</v>
      </c>
      <c r="C33" s="1441">
        <v>2030</v>
      </c>
      <c r="D33" s="1441" t="s">
        <v>881</v>
      </c>
      <c r="E33" s="1442">
        <v>0</v>
      </c>
      <c r="F33" s="1442">
        <v>0</v>
      </c>
      <c r="G33" s="1442">
        <v>0</v>
      </c>
      <c r="H33" s="1442">
        <f t="shared" si="4"/>
        <v>0</v>
      </c>
      <c r="I33" s="1442">
        <f t="shared" si="5"/>
        <v>0</v>
      </c>
      <c r="J33" s="1442">
        <f>X33/2</f>
        <v>26636000</v>
      </c>
      <c r="K33" s="1466">
        <f t="shared" si="2"/>
        <v>26636000</v>
      </c>
      <c r="M33" s="1055">
        <v>8</v>
      </c>
      <c r="N33" s="1441">
        <v>2030</v>
      </c>
      <c r="O33" s="1443">
        <f t="shared" si="7"/>
        <v>111536.0399261102</v>
      </c>
      <c r="P33" s="1443">
        <f t="shared" si="8"/>
        <v>709774.79952979228</v>
      </c>
      <c r="Q33" s="1443">
        <f t="shared" si="9"/>
        <v>1622342.3989252392</v>
      </c>
      <c r="R33" s="1055">
        <v>0</v>
      </c>
      <c r="S33" s="949"/>
      <c r="T33" s="1440">
        <v>14</v>
      </c>
      <c r="U33" s="1441">
        <v>2030</v>
      </c>
      <c r="V33" s="1443"/>
      <c r="W33" s="1443">
        <v>53272000</v>
      </c>
      <c r="X33" s="1443">
        <f t="shared" si="3"/>
        <v>53272000</v>
      </c>
    </row>
    <row r="34" spans="2:24" ht="15" customHeight="1" x14ac:dyDescent="0.2">
      <c r="B34" s="1440">
        <v>15</v>
      </c>
      <c r="C34" s="1441">
        <v>2031</v>
      </c>
      <c r="D34" s="1441" t="s">
        <v>881</v>
      </c>
      <c r="E34" s="1442">
        <v>0</v>
      </c>
      <c r="F34" s="1442">
        <v>0</v>
      </c>
      <c r="G34" s="1442">
        <v>0</v>
      </c>
      <c r="H34" s="1442">
        <f t="shared" si="4"/>
        <v>0</v>
      </c>
      <c r="I34" s="1442">
        <f t="shared" si="5"/>
        <v>0</v>
      </c>
      <c r="J34" s="1442">
        <f>X33/2</f>
        <v>26636000</v>
      </c>
      <c r="K34" s="1466">
        <f t="shared" si="2"/>
        <v>26636000</v>
      </c>
      <c r="M34" s="1055">
        <v>9</v>
      </c>
      <c r="N34" s="1441">
        <v>2031</v>
      </c>
      <c r="O34" s="1443">
        <f t="shared" si="7"/>
        <v>111536.0399261102</v>
      </c>
      <c r="P34" s="1443">
        <f t="shared" si="8"/>
        <v>709774.79952979228</v>
      </c>
      <c r="Q34" s="1443">
        <f t="shared" si="9"/>
        <v>1622342.3989252392</v>
      </c>
      <c r="R34" s="1055">
        <v>0</v>
      </c>
      <c r="S34" s="949"/>
      <c r="T34" s="1440">
        <v>15</v>
      </c>
      <c r="U34" s="1441">
        <v>2031</v>
      </c>
      <c r="V34" s="1443"/>
      <c r="W34" s="1443"/>
      <c r="X34" s="1443">
        <f t="shared" si="3"/>
        <v>0</v>
      </c>
    </row>
    <row r="35" spans="2:24" ht="15" customHeight="1" x14ac:dyDescent="0.2">
      <c r="B35" s="1440">
        <v>16</v>
      </c>
      <c r="C35" s="1441">
        <v>2032</v>
      </c>
      <c r="D35" s="1441" t="s">
        <v>881</v>
      </c>
      <c r="E35" s="1442">
        <v>0</v>
      </c>
      <c r="F35" s="1442">
        <v>0</v>
      </c>
      <c r="G35" s="1442">
        <v>0</v>
      </c>
      <c r="H35" s="1442">
        <f t="shared" si="4"/>
        <v>0</v>
      </c>
      <c r="I35" s="1442">
        <f t="shared" si="5"/>
        <v>0</v>
      </c>
      <c r="J35" s="1442">
        <v>0</v>
      </c>
      <c r="K35" s="1466">
        <f t="shared" si="2"/>
        <v>0</v>
      </c>
      <c r="M35" s="1055">
        <v>10</v>
      </c>
      <c r="N35" s="1441">
        <v>2032</v>
      </c>
      <c r="O35" s="1443">
        <f t="shared" si="7"/>
        <v>111536.0399261102</v>
      </c>
      <c r="P35" s="1443">
        <f t="shared" si="8"/>
        <v>709774.79952979228</v>
      </c>
      <c r="Q35" s="1443">
        <f t="shared" si="9"/>
        <v>1622342.3989252392</v>
      </c>
      <c r="R35" s="1055">
        <v>0</v>
      </c>
      <c r="S35" s="949"/>
      <c r="T35" s="1440">
        <v>16</v>
      </c>
      <c r="U35" s="1441">
        <v>2032</v>
      </c>
      <c r="V35" s="1443"/>
      <c r="W35" s="1443"/>
      <c r="X35" s="1443">
        <f t="shared" si="3"/>
        <v>0</v>
      </c>
    </row>
    <row r="36" spans="2:24" ht="15" customHeight="1" x14ac:dyDescent="0.2">
      <c r="B36" s="1440">
        <v>17</v>
      </c>
      <c r="C36" s="1441">
        <v>2033</v>
      </c>
      <c r="D36" s="1441" t="s">
        <v>881</v>
      </c>
      <c r="E36" s="1442">
        <v>0</v>
      </c>
      <c r="F36" s="1442">
        <v>0</v>
      </c>
      <c r="G36" s="1442">
        <v>0</v>
      </c>
      <c r="H36" s="1442">
        <f t="shared" si="4"/>
        <v>0</v>
      </c>
      <c r="I36" s="1442">
        <f t="shared" si="5"/>
        <v>0</v>
      </c>
      <c r="J36" s="1442">
        <f>X36</f>
        <v>0</v>
      </c>
      <c r="K36" s="1466">
        <f t="shared" si="2"/>
        <v>0</v>
      </c>
      <c r="M36" s="1055">
        <v>11</v>
      </c>
      <c r="N36" s="1441">
        <v>2033</v>
      </c>
      <c r="O36" s="1443">
        <f t="shared" si="7"/>
        <v>111536.0399261102</v>
      </c>
      <c r="P36" s="1443">
        <f t="shared" si="8"/>
        <v>709774.79952979228</v>
      </c>
      <c r="Q36" s="1443">
        <f t="shared" si="9"/>
        <v>1622342.3989252392</v>
      </c>
      <c r="R36" s="1055">
        <v>0</v>
      </c>
      <c r="S36" s="949"/>
      <c r="T36" s="1440">
        <v>17</v>
      </c>
      <c r="U36" s="1441">
        <v>2033</v>
      </c>
      <c r="V36" s="1443"/>
      <c r="W36" s="1443"/>
      <c r="X36" s="1443">
        <f t="shared" si="3"/>
        <v>0</v>
      </c>
    </row>
    <row r="37" spans="2:24" ht="15" customHeight="1" x14ac:dyDescent="0.2">
      <c r="B37" s="1440">
        <v>18</v>
      </c>
      <c r="C37" s="1441">
        <v>2034</v>
      </c>
      <c r="D37" s="1441" t="s">
        <v>881</v>
      </c>
      <c r="E37" s="1442">
        <v>0</v>
      </c>
      <c r="F37" s="1442">
        <v>0</v>
      </c>
      <c r="G37" s="1442">
        <v>0</v>
      </c>
      <c r="H37" s="1442">
        <f t="shared" si="4"/>
        <v>0</v>
      </c>
      <c r="I37" s="1442">
        <f t="shared" si="5"/>
        <v>0</v>
      </c>
      <c r="J37" s="1442">
        <f>X37</f>
        <v>0</v>
      </c>
      <c r="K37" s="1466">
        <f t="shared" si="2"/>
        <v>0</v>
      </c>
      <c r="M37" s="1055">
        <v>12</v>
      </c>
      <c r="N37" s="1441">
        <v>2034</v>
      </c>
      <c r="O37" s="1443">
        <f t="shared" si="7"/>
        <v>111536.0399261102</v>
      </c>
      <c r="P37" s="1443">
        <f t="shared" si="8"/>
        <v>709774.79952979228</v>
      </c>
      <c r="Q37" s="1443">
        <f t="shared" si="9"/>
        <v>1622342.3989252392</v>
      </c>
      <c r="R37" s="1055">
        <v>0</v>
      </c>
      <c r="S37" s="949"/>
      <c r="T37" s="1440">
        <v>18</v>
      </c>
      <c r="U37" s="1441">
        <v>2034</v>
      </c>
      <c r="V37" s="1443"/>
      <c r="W37" s="1443"/>
      <c r="X37" s="1443">
        <f t="shared" si="3"/>
        <v>0</v>
      </c>
    </row>
    <row r="38" spans="2:24" ht="15" customHeight="1" x14ac:dyDescent="0.2">
      <c r="B38" s="1440">
        <v>19</v>
      </c>
      <c r="C38" s="1441">
        <v>2035</v>
      </c>
      <c r="D38" s="1441" t="s">
        <v>881</v>
      </c>
      <c r="E38" s="1442">
        <v>0</v>
      </c>
      <c r="F38" s="1442">
        <v>0</v>
      </c>
      <c r="G38" s="1442">
        <v>0</v>
      </c>
      <c r="H38" s="1442">
        <f t="shared" si="4"/>
        <v>0</v>
      </c>
      <c r="I38" s="1442">
        <f t="shared" si="5"/>
        <v>0</v>
      </c>
      <c r="J38" s="1442">
        <f>X38</f>
        <v>0</v>
      </c>
      <c r="K38" s="1466">
        <f t="shared" si="2"/>
        <v>0</v>
      </c>
      <c r="M38" s="1055">
        <v>13</v>
      </c>
      <c r="N38" s="1441">
        <v>2035</v>
      </c>
      <c r="O38" s="1443">
        <f t="shared" si="7"/>
        <v>111536.0399261102</v>
      </c>
      <c r="P38" s="1443">
        <f t="shared" si="8"/>
        <v>709774.79952979228</v>
      </c>
      <c r="Q38" s="1443">
        <f t="shared" si="9"/>
        <v>1622342.3989252392</v>
      </c>
      <c r="R38" s="1055">
        <v>0</v>
      </c>
      <c r="S38" s="949"/>
      <c r="T38" s="1440">
        <v>19</v>
      </c>
      <c r="U38" s="1441">
        <v>2035</v>
      </c>
      <c r="V38" s="1443"/>
      <c r="W38" s="1443"/>
      <c r="X38" s="1443">
        <f t="shared" si="3"/>
        <v>0</v>
      </c>
    </row>
    <row r="39" spans="2:24" ht="15" customHeight="1" x14ac:dyDescent="0.2">
      <c r="B39" s="1440">
        <v>20</v>
      </c>
      <c r="C39" s="1441">
        <v>2036</v>
      </c>
      <c r="D39" s="1441" t="s">
        <v>881</v>
      </c>
      <c r="E39" s="1442">
        <v>0</v>
      </c>
      <c r="F39" s="1442">
        <v>0</v>
      </c>
      <c r="G39" s="1442">
        <v>0</v>
      </c>
      <c r="H39" s="1442">
        <f t="shared" si="4"/>
        <v>8365202.9944582647</v>
      </c>
      <c r="I39" s="1442">
        <f t="shared" si="5"/>
        <v>8365202.9944582647</v>
      </c>
      <c r="J39" s="1442">
        <f>X39/2</f>
        <v>12001664.974259999</v>
      </c>
      <c r="K39" s="1466">
        <f t="shared" si="2"/>
        <v>12001664.974259999</v>
      </c>
      <c r="M39" s="1055">
        <v>14</v>
      </c>
      <c r="N39" s="1441">
        <v>2036</v>
      </c>
      <c r="O39" s="1443">
        <f t="shared" si="7"/>
        <v>111536.0399261102</v>
      </c>
      <c r="P39" s="1443">
        <f t="shared" si="8"/>
        <v>709774.79952979228</v>
      </c>
      <c r="Q39" s="1443">
        <f t="shared" si="9"/>
        <v>1622342.3989252392</v>
      </c>
      <c r="R39" s="1444">
        <f>O39</f>
        <v>111536.0399261102</v>
      </c>
      <c r="S39" s="1598"/>
      <c r="T39" s="1440">
        <v>20</v>
      </c>
      <c r="U39" s="1441">
        <v>2036</v>
      </c>
      <c r="V39" s="1443">
        <v>24003329.948519997</v>
      </c>
      <c r="W39" s="1443"/>
      <c r="X39" s="1443">
        <f t="shared" si="3"/>
        <v>24003329.948519997</v>
      </c>
    </row>
    <row r="40" spans="2:24" ht="15" customHeight="1" x14ac:dyDescent="0.2">
      <c r="B40" s="1440">
        <v>21</v>
      </c>
      <c r="C40" s="1441">
        <v>2037</v>
      </c>
      <c r="D40" s="1441" t="s">
        <v>881</v>
      </c>
      <c r="E40" s="1442">
        <v>0</v>
      </c>
      <c r="F40" s="1442">
        <v>0</v>
      </c>
      <c r="G40" s="1442">
        <v>0</v>
      </c>
      <c r="H40" s="1442">
        <f t="shared" si="4"/>
        <v>0</v>
      </c>
      <c r="I40" s="1442">
        <f t="shared" si="5"/>
        <v>0</v>
      </c>
      <c r="J40" s="1442">
        <f>X39/2</f>
        <v>12001664.974259999</v>
      </c>
      <c r="K40" s="1466">
        <f t="shared" si="2"/>
        <v>12001664.974259999</v>
      </c>
      <c r="M40" s="1055">
        <v>15</v>
      </c>
      <c r="N40" s="1441">
        <v>2037</v>
      </c>
      <c r="O40" s="1443">
        <f t="shared" si="7"/>
        <v>111536.0399261102</v>
      </c>
      <c r="P40" s="1443">
        <f t="shared" si="8"/>
        <v>709774.79952979228</v>
      </c>
      <c r="Q40" s="1443">
        <f t="shared" si="9"/>
        <v>1622342.3989252392</v>
      </c>
      <c r="R40" s="1055">
        <v>0</v>
      </c>
      <c r="S40" s="949"/>
      <c r="T40" s="1440">
        <v>21</v>
      </c>
      <c r="U40" s="1441">
        <v>2037</v>
      </c>
      <c r="V40" s="1443"/>
      <c r="W40" s="1443"/>
      <c r="X40" s="1443">
        <f t="shared" si="3"/>
        <v>0</v>
      </c>
    </row>
    <row r="41" spans="2:24" ht="15" customHeight="1" x14ac:dyDescent="0.2">
      <c r="B41" s="1440">
        <v>22</v>
      </c>
      <c r="C41" s="1441">
        <v>2038</v>
      </c>
      <c r="D41" s="1441" t="s">
        <v>881</v>
      </c>
      <c r="E41" s="1442">
        <v>0</v>
      </c>
      <c r="F41" s="1442">
        <v>0</v>
      </c>
      <c r="G41" s="1442">
        <v>0</v>
      </c>
      <c r="H41" s="1442">
        <f t="shared" si="4"/>
        <v>0</v>
      </c>
      <c r="I41" s="1442">
        <f t="shared" si="5"/>
        <v>0</v>
      </c>
      <c r="J41" s="1442">
        <f t="shared" ref="J41:J46" si="10">X41</f>
        <v>0</v>
      </c>
      <c r="K41" s="1466">
        <f t="shared" si="2"/>
        <v>0</v>
      </c>
      <c r="M41" s="1055">
        <v>16</v>
      </c>
      <c r="N41" s="1441">
        <v>2038</v>
      </c>
      <c r="O41" s="1443">
        <f t="shared" si="7"/>
        <v>111536.0399261102</v>
      </c>
      <c r="P41" s="1443">
        <f t="shared" si="8"/>
        <v>709774.79952979228</v>
      </c>
      <c r="Q41" s="1443">
        <f t="shared" si="9"/>
        <v>1622342.3989252392</v>
      </c>
      <c r="R41" s="1055">
        <v>0</v>
      </c>
      <c r="S41" s="949"/>
      <c r="T41" s="1440">
        <v>22</v>
      </c>
      <c r="U41" s="1441">
        <v>2038</v>
      </c>
      <c r="V41" s="1443"/>
      <c r="W41" s="1443"/>
      <c r="X41" s="1443">
        <f t="shared" si="3"/>
        <v>0</v>
      </c>
    </row>
    <row r="42" spans="2:24" ht="15" customHeight="1" x14ac:dyDescent="0.2">
      <c r="B42" s="1440">
        <v>23</v>
      </c>
      <c r="C42" s="1441">
        <v>2039</v>
      </c>
      <c r="D42" s="1441" t="s">
        <v>881</v>
      </c>
      <c r="E42" s="1442">
        <v>0</v>
      </c>
      <c r="F42" s="1442">
        <v>0</v>
      </c>
      <c r="G42" s="1442">
        <v>0</v>
      </c>
      <c r="H42" s="1442">
        <f t="shared" si="4"/>
        <v>0</v>
      </c>
      <c r="I42" s="1442">
        <f t="shared" si="5"/>
        <v>0</v>
      </c>
      <c r="J42" s="1442">
        <f t="shared" si="10"/>
        <v>0</v>
      </c>
      <c r="K42" s="1466">
        <f t="shared" si="2"/>
        <v>0</v>
      </c>
      <c r="M42" s="1055">
        <v>17</v>
      </c>
      <c r="N42" s="1441">
        <v>2039</v>
      </c>
      <c r="O42" s="1443">
        <f t="shared" si="7"/>
        <v>111536.0399261102</v>
      </c>
      <c r="P42" s="1443">
        <f t="shared" si="8"/>
        <v>709774.79952979228</v>
      </c>
      <c r="Q42" s="1443">
        <f t="shared" si="9"/>
        <v>1622342.3989252392</v>
      </c>
      <c r="R42" s="1055">
        <v>0</v>
      </c>
      <c r="S42" s="949"/>
      <c r="T42" s="1440">
        <v>23</v>
      </c>
      <c r="U42" s="1441">
        <v>2039</v>
      </c>
      <c r="V42" s="1443"/>
      <c r="W42" s="1443"/>
      <c r="X42" s="1443">
        <f t="shared" si="3"/>
        <v>0</v>
      </c>
    </row>
    <row r="43" spans="2:24" ht="15" customHeight="1" x14ac:dyDescent="0.2">
      <c r="B43" s="1440">
        <v>24</v>
      </c>
      <c r="C43" s="1441">
        <v>2040</v>
      </c>
      <c r="D43" s="1441" t="s">
        <v>881</v>
      </c>
      <c r="E43" s="1442">
        <v>0</v>
      </c>
      <c r="F43" s="1442">
        <v>0</v>
      </c>
      <c r="G43" s="1442">
        <v>0</v>
      </c>
      <c r="H43" s="1442">
        <f t="shared" si="4"/>
        <v>0</v>
      </c>
      <c r="I43" s="1442">
        <f t="shared" si="5"/>
        <v>0</v>
      </c>
      <c r="J43" s="1442">
        <f t="shared" si="10"/>
        <v>0</v>
      </c>
      <c r="K43" s="1466">
        <f t="shared" si="2"/>
        <v>0</v>
      </c>
      <c r="M43" s="1055">
        <v>18</v>
      </c>
      <c r="N43" s="1441">
        <v>2040</v>
      </c>
      <c r="O43" s="1443">
        <f t="shared" si="7"/>
        <v>111536.0399261102</v>
      </c>
      <c r="P43" s="1443">
        <f t="shared" si="8"/>
        <v>709774.79952979228</v>
      </c>
      <c r="Q43" s="1443">
        <f t="shared" si="9"/>
        <v>1622342.3989252392</v>
      </c>
      <c r="R43" s="1055">
        <v>0</v>
      </c>
      <c r="S43" s="949"/>
      <c r="T43" s="1440">
        <v>24</v>
      </c>
      <c r="U43" s="1441">
        <v>2040</v>
      </c>
      <c r="V43" s="1443"/>
      <c r="W43" s="1443"/>
      <c r="X43" s="1443">
        <f t="shared" si="3"/>
        <v>0</v>
      </c>
    </row>
    <row r="44" spans="2:24" ht="15" customHeight="1" x14ac:dyDescent="0.2">
      <c r="B44" s="1440">
        <v>25</v>
      </c>
      <c r="C44" s="1441">
        <v>2041</v>
      </c>
      <c r="D44" s="1441" t="s">
        <v>881</v>
      </c>
      <c r="E44" s="1442">
        <v>0</v>
      </c>
      <c r="F44" s="1442">
        <v>0</v>
      </c>
      <c r="G44" s="1442">
        <v>0</v>
      </c>
      <c r="H44" s="1442">
        <f t="shared" ref="H44:H46" si="11">R44*$H$52</f>
        <v>0</v>
      </c>
      <c r="I44" s="1442">
        <f t="shared" ref="I44:I46" si="12">SUM(E44:H44)</f>
        <v>0</v>
      </c>
      <c r="J44" s="1442">
        <f t="shared" si="10"/>
        <v>0</v>
      </c>
      <c r="K44" s="1466">
        <f t="shared" si="2"/>
        <v>0</v>
      </c>
      <c r="M44" s="1055">
        <v>19</v>
      </c>
      <c r="N44" s="1441">
        <v>2041</v>
      </c>
      <c r="O44" s="1443">
        <f t="shared" si="7"/>
        <v>111536.0399261102</v>
      </c>
      <c r="P44" s="1443">
        <f t="shared" si="8"/>
        <v>709774.79952979228</v>
      </c>
      <c r="Q44" s="1443">
        <f t="shared" si="9"/>
        <v>1622342.3989252392</v>
      </c>
      <c r="R44" s="1055">
        <v>0</v>
      </c>
      <c r="S44" s="949"/>
      <c r="T44" s="1440">
        <v>25</v>
      </c>
      <c r="U44" s="1441">
        <v>2041</v>
      </c>
      <c r="V44" s="1443"/>
      <c r="W44" s="1443"/>
      <c r="X44" s="1443">
        <f t="shared" si="3"/>
        <v>0</v>
      </c>
    </row>
    <row r="45" spans="2:24" ht="15" customHeight="1" x14ac:dyDescent="0.2">
      <c r="B45" s="1440">
        <v>26</v>
      </c>
      <c r="C45" s="1441">
        <v>2042</v>
      </c>
      <c r="D45" s="1441" t="s">
        <v>881</v>
      </c>
      <c r="E45" s="1442">
        <v>0</v>
      </c>
      <c r="F45" s="1442">
        <v>0</v>
      </c>
      <c r="G45" s="1442">
        <v>0</v>
      </c>
      <c r="H45" s="1442">
        <f t="shared" si="11"/>
        <v>0</v>
      </c>
      <c r="I45" s="1442">
        <f t="shared" si="12"/>
        <v>0</v>
      </c>
      <c r="J45" s="1442">
        <f t="shared" si="10"/>
        <v>0</v>
      </c>
      <c r="K45" s="1466">
        <f t="shared" si="2"/>
        <v>0</v>
      </c>
      <c r="M45" s="1055">
        <v>20</v>
      </c>
      <c r="N45" s="1441">
        <v>2042</v>
      </c>
      <c r="O45" s="1443">
        <f t="shared" si="7"/>
        <v>111536.0399261102</v>
      </c>
      <c r="P45" s="1443">
        <f t="shared" si="8"/>
        <v>709774.79952979228</v>
      </c>
      <c r="Q45" s="1443">
        <f t="shared" si="9"/>
        <v>1622342.3989252392</v>
      </c>
      <c r="R45" s="1055">
        <v>0</v>
      </c>
      <c r="S45" s="949"/>
      <c r="T45" s="1440">
        <v>26</v>
      </c>
      <c r="U45" s="1441">
        <v>2042</v>
      </c>
      <c r="V45" s="1443"/>
      <c r="W45" s="1443"/>
      <c r="X45" s="1443">
        <f t="shared" si="3"/>
        <v>0</v>
      </c>
    </row>
    <row r="46" spans="2:24" ht="15" customHeight="1" x14ac:dyDescent="0.2">
      <c r="B46" s="1440">
        <v>27</v>
      </c>
      <c r="C46" s="1441">
        <v>2043</v>
      </c>
      <c r="D46" s="1441" t="s">
        <v>881</v>
      </c>
      <c r="E46" s="1442">
        <v>0</v>
      </c>
      <c r="F46" s="1442">
        <v>0</v>
      </c>
      <c r="G46" s="1442">
        <v>0</v>
      </c>
      <c r="H46" s="1442">
        <f t="shared" si="11"/>
        <v>8365202.9944582647</v>
      </c>
      <c r="I46" s="1442">
        <f t="shared" si="12"/>
        <v>8365202.9944582647</v>
      </c>
      <c r="J46" s="1442">
        <f t="shared" si="10"/>
        <v>0</v>
      </c>
      <c r="K46" s="1466">
        <f t="shared" si="2"/>
        <v>0</v>
      </c>
      <c r="M46" s="1055">
        <v>21</v>
      </c>
      <c r="N46" s="1441">
        <v>2043</v>
      </c>
      <c r="O46" s="1443">
        <f t="shared" si="7"/>
        <v>111536.0399261102</v>
      </c>
      <c r="P46" s="1443">
        <f t="shared" si="8"/>
        <v>709774.79952979228</v>
      </c>
      <c r="Q46" s="1443">
        <f t="shared" si="9"/>
        <v>1622342.3989252392</v>
      </c>
      <c r="R46" s="1444">
        <f>O46</f>
        <v>111536.0399261102</v>
      </c>
      <c r="S46" s="1598"/>
      <c r="T46" s="1440">
        <v>27</v>
      </c>
      <c r="U46" s="1441">
        <v>2043</v>
      </c>
      <c r="V46" s="1443"/>
      <c r="W46" s="1443"/>
      <c r="X46" s="1443">
        <f t="shared" si="3"/>
        <v>0</v>
      </c>
    </row>
    <row r="47" spans="2:24" ht="15" customHeight="1" x14ac:dyDescent="0.25">
      <c r="B47" s="1440"/>
      <c r="C47" s="1445" t="s">
        <v>5</v>
      </c>
      <c r="D47" s="1445"/>
      <c r="E47" s="1446">
        <f t="shared" ref="E47:F47" si="13">SUM(E21:E46)</f>
        <v>0</v>
      </c>
      <c r="F47" s="1446">
        <f t="shared" si="13"/>
        <v>0</v>
      </c>
      <c r="G47" s="1446">
        <f t="shared" ref="G47:H47" si="14">SUM(G19:G46)</f>
        <v>631700000</v>
      </c>
      <c r="H47" s="1446">
        <f t="shared" si="14"/>
        <v>25095608.983374793</v>
      </c>
      <c r="I47" s="1446">
        <f>SUM(I19:I46)</f>
        <v>656795608.98337495</v>
      </c>
      <c r="J47" s="1446">
        <f>SUM(J19:J46)</f>
        <v>192322440.44852</v>
      </c>
      <c r="K47" s="1446">
        <f>SUM(K19:K46)</f>
        <v>192322440.44852</v>
      </c>
      <c r="N47" s="1806" t="s">
        <v>882</v>
      </c>
      <c r="O47" s="1806" t="s">
        <v>885</v>
      </c>
      <c r="P47" s="1806" t="s">
        <v>933</v>
      </c>
      <c r="Q47" s="1806" t="s">
        <v>883</v>
      </c>
      <c r="R47" s="1806" t="s">
        <v>884</v>
      </c>
      <c r="S47" s="1596"/>
      <c r="T47" s="1440"/>
      <c r="U47" s="1445" t="s">
        <v>5</v>
      </c>
      <c r="V47" s="1446">
        <f t="shared" ref="V47:X47" si="15">SUM(V19:V46)</f>
        <v>139050440.44852</v>
      </c>
      <c r="W47" s="1446">
        <f t="shared" si="15"/>
        <v>53272000</v>
      </c>
      <c r="X47" s="1446">
        <f t="shared" si="15"/>
        <v>192322440.44852</v>
      </c>
    </row>
    <row r="48" spans="2:24" ht="15" customHeight="1" x14ac:dyDescent="0.25">
      <c r="C48" s="1447"/>
      <c r="D48" s="1448"/>
      <c r="E48" s="1448"/>
      <c r="F48" s="1448"/>
      <c r="G48" s="1448"/>
      <c r="H48" s="1448"/>
      <c r="I48" s="1448"/>
      <c r="N48" s="1806"/>
      <c r="O48" s="1806"/>
      <c r="P48" s="1806"/>
      <c r="Q48" s="1806"/>
      <c r="R48" s="1806"/>
      <c r="S48" s="1596"/>
    </row>
    <row r="49" spans="2:24" ht="15" customHeight="1" x14ac:dyDescent="0.25">
      <c r="C49" s="1449"/>
      <c r="D49" s="1450"/>
      <c r="E49" s="1804" t="s">
        <v>510</v>
      </c>
      <c r="F49" s="1804"/>
      <c r="G49" s="1463">
        <f>SUM(E47:G47)</f>
        <v>631700000</v>
      </c>
      <c r="N49" s="1806"/>
      <c r="O49" s="1806"/>
      <c r="P49" s="1806"/>
      <c r="Q49" s="1806"/>
      <c r="R49" s="1806"/>
      <c r="S49" s="1596"/>
      <c r="T49" s="1596"/>
    </row>
    <row r="50" spans="2:24" ht="15" customHeight="1" x14ac:dyDescent="0.25">
      <c r="C50" s="1449"/>
      <c r="D50" s="1450"/>
      <c r="J50" s="1451"/>
      <c r="N50" s="1806"/>
      <c r="O50" s="1806"/>
      <c r="P50" s="1806"/>
      <c r="Q50" s="1806"/>
      <c r="R50" s="1806"/>
      <c r="S50" s="1596"/>
      <c r="T50" s="1596"/>
    </row>
    <row r="51" spans="2:24" ht="15" customHeight="1" x14ac:dyDescent="0.25">
      <c r="C51" s="1449"/>
      <c r="D51" s="1452"/>
      <c r="E51" s="1452"/>
      <c r="F51" s="1804" t="s">
        <v>518</v>
      </c>
      <c r="G51" s="1804"/>
      <c r="H51" s="1463">
        <f>SUM(H47:H47)</f>
        <v>25095608.983374793</v>
      </c>
    </row>
    <row r="52" spans="2:24" s="1453" customFormat="1" ht="15" x14ac:dyDescent="0.2">
      <c r="B52" s="895"/>
      <c r="C52" s="895"/>
      <c r="D52" s="895"/>
      <c r="E52" s="895"/>
      <c r="F52" s="1805" t="s">
        <v>880</v>
      </c>
      <c r="G52" s="1805"/>
      <c r="H52" s="1464">
        <v>75</v>
      </c>
      <c r="I52" s="895"/>
      <c r="J52" s="895"/>
      <c r="K52" s="895"/>
      <c r="M52" s="895"/>
      <c r="N52" s="895"/>
      <c r="O52" s="895"/>
      <c r="P52" s="895"/>
      <c r="Q52" s="895"/>
      <c r="R52" s="895"/>
      <c r="S52" s="895"/>
      <c r="T52" s="895"/>
      <c r="U52" s="895"/>
      <c r="V52" s="895"/>
      <c r="W52" s="895"/>
      <c r="X52" s="895"/>
    </row>
    <row r="53" spans="2:24" ht="24.75" customHeight="1" x14ac:dyDescent="0.2">
      <c r="C53" s="895"/>
    </row>
    <row r="54" spans="2:24" ht="14.25" x14ac:dyDescent="0.2">
      <c r="C54" s="895"/>
    </row>
    <row r="55" spans="2:24" ht="14.25" x14ac:dyDescent="0.2">
      <c r="C55" s="895"/>
    </row>
    <row r="56" spans="2:24" ht="13.5" customHeight="1" thickBot="1" x14ac:dyDescent="0.25">
      <c r="C56" s="895"/>
    </row>
    <row r="57" spans="2:24" ht="14.25" customHeight="1" x14ac:dyDescent="0.25">
      <c r="B57" s="1811" t="s">
        <v>887</v>
      </c>
      <c r="C57" s="1812"/>
      <c r="D57" s="1812"/>
      <c r="E57" s="1812"/>
      <c r="F57" s="1812"/>
      <c r="G57" s="1812"/>
      <c r="H57" s="1812"/>
      <c r="I57" s="1812"/>
      <c r="J57" s="1812"/>
      <c r="K57" s="1812"/>
      <c r="L57" s="1813"/>
      <c r="N57" s="1798" t="s">
        <v>932</v>
      </c>
      <c r="O57" s="1799"/>
      <c r="P57" s="1799"/>
      <c r="Q57" s="1799"/>
      <c r="R57" s="1799"/>
      <c r="S57" s="1800"/>
    </row>
    <row r="58" spans="2:24" ht="15" customHeight="1" thickBot="1" x14ac:dyDescent="0.3">
      <c r="B58" s="1814"/>
      <c r="C58" s="1815"/>
      <c r="D58" s="1815"/>
      <c r="E58" s="1815"/>
      <c r="F58" s="1815"/>
      <c r="G58" s="1815"/>
      <c r="H58" s="1815"/>
      <c r="I58" s="1815"/>
      <c r="J58" s="1815"/>
      <c r="K58" s="1815"/>
      <c r="L58" s="1816"/>
      <c r="N58" s="1801"/>
      <c r="O58" s="1802"/>
      <c r="P58" s="1802"/>
      <c r="Q58" s="1802"/>
      <c r="R58" s="1802"/>
      <c r="S58" s="1803"/>
    </row>
    <row r="59" spans="2:24" ht="14.25" x14ac:dyDescent="0.2">
      <c r="B59" s="1714" t="s">
        <v>182</v>
      </c>
      <c r="C59" s="1619" t="s">
        <v>180</v>
      </c>
      <c r="D59" s="1619" t="s">
        <v>178</v>
      </c>
      <c r="E59" s="1619" t="s">
        <v>268</v>
      </c>
      <c r="F59" s="1055"/>
      <c r="G59" s="1712" t="s">
        <v>269</v>
      </c>
      <c r="H59" s="1712" t="s">
        <v>270</v>
      </c>
      <c r="I59" s="1712" t="s">
        <v>271</v>
      </c>
      <c r="J59" s="1712" t="s">
        <v>272</v>
      </c>
      <c r="K59" s="1713" t="s">
        <v>273</v>
      </c>
      <c r="L59" s="1715" t="s">
        <v>274</v>
      </c>
      <c r="N59" s="907" t="s">
        <v>182</v>
      </c>
      <c r="O59" s="908" t="s">
        <v>180</v>
      </c>
      <c r="P59" s="907" t="s">
        <v>178</v>
      </c>
      <c r="Q59" s="908" t="s">
        <v>268</v>
      </c>
      <c r="R59" s="1454" t="s">
        <v>271</v>
      </c>
      <c r="S59" s="1455" t="s">
        <v>272</v>
      </c>
    </row>
    <row r="60" spans="2:24" ht="14.25" customHeight="1" x14ac:dyDescent="0.25">
      <c r="B60" s="1807" t="s">
        <v>7</v>
      </c>
      <c r="C60" s="1810" t="s">
        <v>275</v>
      </c>
      <c r="D60" s="1810" t="s">
        <v>766</v>
      </c>
      <c r="E60" s="1810" t="s">
        <v>767</v>
      </c>
      <c r="F60" s="1810" t="s">
        <v>1021</v>
      </c>
      <c r="G60" s="1785" t="s">
        <v>374</v>
      </c>
      <c r="H60" s="1785"/>
      <c r="I60" s="1785" t="s">
        <v>375</v>
      </c>
      <c r="J60" s="1785"/>
      <c r="K60" s="1785" t="s">
        <v>376</v>
      </c>
      <c r="L60" s="1786"/>
      <c r="N60" s="1807" t="s">
        <v>7</v>
      </c>
      <c r="O60" s="1808" t="s">
        <v>275</v>
      </c>
      <c r="P60" s="1809" t="s">
        <v>766</v>
      </c>
      <c r="Q60" s="1808" t="s">
        <v>767</v>
      </c>
      <c r="R60" s="1797" t="s">
        <v>375</v>
      </c>
      <c r="S60" s="1786"/>
    </row>
    <row r="61" spans="2:24" x14ac:dyDescent="0.25">
      <c r="B61" s="1807"/>
      <c r="C61" s="1810"/>
      <c r="D61" s="1810"/>
      <c r="E61" s="1810"/>
      <c r="F61" s="1810"/>
      <c r="G61" s="1602">
        <f>3/100</f>
        <v>0.03</v>
      </c>
      <c r="H61" s="1602">
        <f>7/100</f>
        <v>7.0000000000000007E-2</v>
      </c>
      <c r="I61" s="1602">
        <f>3/100</f>
        <v>0.03</v>
      </c>
      <c r="J61" s="1602">
        <f>7/100</f>
        <v>7.0000000000000007E-2</v>
      </c>
      <c r="K61" s="1602">
        <f>3/100</f>
        <v>0.03</v>
      </c>
      <c r="L61" s="1457">
        <f>7/100</f>
        <v>7.0000000000000007E-2</v>
      </c>
      <c r="N61" s="1807"/>
      <c r="O61" s="1808"/>
      <c r="P61" s="1809"/>
      <c r="Q61" s="1808"/>
      <c r="R61" s="1456">
        <f>3/100</f>
        <v>0.03</v>
      </c>
      <c r="S61" s="1457">
        <f>7/100</f>
        <v>7.0000000000000007E-2</v>
      </c>
    </row>
    <row r="62" spans="2:24" ht="24" x14ac:dyDescent="0.25">
      <c r="B62" s="1807"/>
      <c r="C62" s="1810"/>
      <c r="D62" s="1810"/>
      <c r="E62" s="1810"/>
      <c r="F62" s="1810"/>
      <c r="G62" s="1702" t="s">
        <v>377</v>
      </c>
      <c r="H62" s="1702" t="s">
        <v>378</v>
      </c>
      <c r="I62" s="1702" t="s">
        <v>379</v>
      </c>
      <c r="J62" s="1702" t="s">
        <v>380</v>
      </c>
      <c r="K62" s="1702" t="s">
        <v>381</v>
      </c>
      <c r="L62" s="1703" t="s">
        <v>382</v>
      </c>
      <c r="N62" s="1807"/>
      <c r="O62" s="1808"/>
      <c r="P62" s="1809"/>
      <c r="Q62" s="1808"/>
      <c r="R62" s="1704" t="s">
        <v>379</v>
      </c>
      <c r="S62" s="1703" t="s">
        <v>380</v>
      </c>
    </row>
    <row r="63" spans="2:24" ht="14.25" x14ac:dyDescent="0.2">
      <c r="B63" s="1465">
        <v>0</v>
      </c>
      <c r="C63" s="1441">
        <v>2016</v>
      </c>
      <c r="D63" s="1458">
        <f t="shared" ref="D63:D90" si="16">SUM(E19:G19)</f>
        <v>0</v>
      </c>
      <c r="E63" s="1458">
        <f t="shared" ref="E63:E90" si="17">SUM(H19:H19)</f>
        <v>0</v>
      </c>
      <c r="F63" s="1466">
        <f>D63+E63</f>
        <v>0</v>
      </c>
      <c r="G63" s="1623">
        <f t="shared" ref="G63:G90" si="18">D63/(1+$D$5)^B63</f>
        <v>0</v>
      </c>
      <c r="H63" s="1623">
        <f t="shared" ref="H63:H90" si="19">D63/(1+$D$4)^B63</f>
        <v>0</v>
      </c>
      <c r="I63" s="1623">
        <f t="shared" ref="I63:I90" si="20">E63/(1+$D$5)^B63</f>
        <v>0</v>
      </c>
      <c r="J63" s="1623">
        <f>G63/(1+$D$5)^C63</f>
        <v>0</v>
      </c>
      <c r="K63" s="1623">
        <f t="shared" ref="K63:L65" si="21">G63+I63</f>
        <v>0</v>
      </c>
      <c r="L63" s="1459">
        <f t="shared" si="21"/>
        <v>0</v>
      </c>
      <c r="N63" s="1465">
        <v>0</v>
      </c>
      <c r="O63" s="1441">
        <v>2016</v>
      </c>
      <c r="P63" s="1468">
        <v>0</v>
      </c>
      <c r="Q63" s="922">
        <f t="shared" ref="Q63:Q90" si="22">J19</f>
        <v>0</v>
      </c>
      <c r="R63" s="930">
        <f t="shared" ref="R63:R90" si="23">Q63/(1+$R$61)^N63</f>
        <v>0</v>
      </c>
      <c r="S63" s="1459">
        <f t="shared" ref="S63:S90" si="24">R63/(1+$S$61)^N63</f>
        <v>0</v>
      </c>
    </row>
    <row r="64" spans="2:24" ht="14.25" x14ac:dyDescent="0.2">
      <c r="B64" s="1465">
        <v>1</v>
      </c>
      <c r="C64" s="1441">
        <v>2017</v>
      </c>
      <c r="D64" s="1458">
        <f t="shared" si="16"/>
        <v>0</v>
      </c>
      <c r="E64" s="1458">
        <f t="shared" si="17"/>
        <v>0</v>
      </c>
      <c r="F64" s="1466">
        <f t="shared" ref="F64:F90" si="25">D64+E64</f>
        <v>0</v>
      </c>
      <c r="G64" s="1623">
        <f t="shared" si="18"/>
        <v>0</v>
      </c>
      <c r="H64" s="1623">
        <f t="shared" si="19"/>
        <v>0</v>
      </c>
      <c r="I64" s="1623">
        <f t="shared" si="20"/>
        <v>0</v>
      </c>
      <c r="J64" s="1623">
        <f>G64/(1+$D$5)^C64</f>
        <v>0</v>
      </c>
      <c r="K64" s="1623">
        <f t="shared" si="21"/>
        <v>0</v>
      </c>
      <c r="L64" s="1459">
        <f t="shared" si="21"/>
        <v>0</v>
      </c>
      <c r="N64" s="1465">
        <v>1</v>
      </c>
      <c r="O64" s="1441">
        <v>2017</v>
      </c>
      <c r="P64" s="1468">
        <v>0</v>
      </c>
      <c r="Q64" s="922">
        <f t="shared" si="22"/>
        <v>0</v>
      </c>
      <c r="R64" s="930">
        <f t="shared" si="23"/>
        <v>0</v>
      </c>
      <c r="S64" s="1459">
        <f t="shared" si="24"/>
        <v>0</v>
      </c>
    </row>
    <row r="65" spans="2:19" ht="14.25" x14ac:dyDescent="0.2">
      <c r="B65" s="1465">
        <v>2</v>
      </c>
      <c r="C65" s="1441">
        <v>2018</v>
      </c>
      <c r="D65" s="1458">
        <f t="shared" si="16"/>
        <v>0</v>
      </c>
      <c r="E65" s="1458">
        <f t="shared" si="17"/>
        <v>0</v>
      </c>
      <c r="F65" s="1466">
        <f t="shared" si="25"/>
        <v>0</v>
      </c>
      <c r="G65" s="1623">
        <f t="shared" si="18"/>
        <v>0</v>
      </c>
      <c r="H65" s="1623">
        <f t="shared" si="19"/>
        <v>0</v>
      </c>
      <c r="I65" s="1623">
        <f t="shared" si="20"/>
        <v>0</v>
      </c>
      <c r="J65" s="1623">
        <f>G65/(1+$D$5)^C65</f>
        <v>0</v>
      </c>
      <c r="K65" s="1623">
        <f t="shared" si="21"/>
        <v>0</v>
      </c>
      <c r="L65" s="1459">
        <f t="shared" si="21"/>
        <v>0</v>
      </c>
      <c r="N65" s="1465">
        <v>2</v>
      </c>
      <c r="O65" s="1469">
        <v>2018</v>
      </c>
      <c r="P65" s="1468">
        <v>0</v>
      </c>
      <c r="Q65" s="922">
        <f t="shared" si="22"/>
        <v>0</v>
      </c>
      <c r="R65" s="930">
        <f t="shared" si="23"/>
        <v>0</v>
      </c>
      <c r="S65" s="1459">
        <f t="shared" si="24"/>
        <v>0</v>
      </c>
    </row>
    <row r="66" spans="2:19" ht="14.25" x14ac:dyDescent="0.2">
      <c r="B66" s="1465">
        <v>3</v>
      </c>
      <c r="C66" s="1441">
        <v>2019</v>
      </c>
      <c r="D66" s="1458">
        <f t="shared" si="16"/>
        <v>157925000</v>
      </c>
      <c r="E66" s="1458">
        <f t="shared" si="17"/>
        <v>0</v>
      </c>
      <c r="F66" s="1466">
        <f t="shared" si="25"/>
        <v>157925000</v>
      </c>
      <c r="G66" s="1623">
        <f t="shared" si="18"/>
        <v>144523746.55334774</v>
      </c>
      <c r="H66" s="1623">
        <f t="shared" si="19"/>
        <v>128913842.20798779</v>
      </c>
      <c r="I66" s="1623">
        <f t="shared" si="20"/>
        <v>0</v>
      </c>
      <c r="J66" s="1623">
        <f>G66/(1+$D$5)^C66</f>
        <v>1.7441447767609883E-18</v>
      </c>
      <c r="K66" s="1623">
        <f t="shared" ref="K66:L87" si="26">G66+I66</f>
        <v>144523746.55334774</v>
      </c>
      <c r="L66" s="1459">
        <f t="shared" si="26"/>
        <v>128913842.20798779</v>
      </c>
      <c r="N66" s="1465">
        <v>3</v>
      </c>
      <c r="O66" s="1469">
        <v>2019</v>
      </c>
      <c r="P66" s="1468">
        <v>0</v>
      </c>
      <c r="Q66" s="922">
        <f t="shared" si="22"/>
        <v>0</v>
      </c>
      <c r="R66" s="930">
        <f t="shared" si="23"/>
        <v>0</v>
      </c>
      <c r="S66" s="1459">
        <f t="shared" si="24"/>
        <v>0</v>
      </c>
    </row>
    <row r="67" spans="2:19" ht="14.25" x14ac:dyDescent="0.2">
      <c r="B67" s="1465">
        <v>4</v>
      </c>
      <c r="C67" s="1441">
        <v>2020</v>
      </c>
      <c r="D67" s="1458">
        <f t="shared" si="16"/>
        <v>157925000</v>
      </c>
      <c r="E67" s="1458">
        <f t="shared" si="17"/>
        <v>0</v>
      </c>
      <c r="F67" s="1466">
        <f t="shared" si="25"/>
        <v>157925000</v>
      </c>
      <c r="G67" s="1623">
        <f t="shared" si="18"/>
        <v>140314317.04208517</v>
      </c>
      <c r="H67" s="1623">
        <f t="shared" si="19"/>
        <v>120480226.36260542</v>
      </c>
      <c r="I67" s="1623">
        <f t="shared" si="20"/>
        <v>0</v>
      </c>
      <c r="J67" s="1623">
        <f>G67/(1+$D$5)^C67</f>
        <v>1.6440237315119127E-18</v>
      </c>
      <c r="K67" s="1623">
        <f t="shared" si="26"/>
        <v>140314317.04208517</v>
      </c>
      <c r="L67" s="1459">
        <f t="shared" si="26"/>
        <v>120480226.36260542</v>
      </c>
      <c r="N67" s="1465">
        <v>4</v>
      </c>
      <c r="O67" s="1469">
        <v>2020</v>
      </c>
      <c r="P67" s="1468">
        <v>0</v>
      </c>
      <c r="Q67" s="922">
        <f t="shared" si="22"/>
        <v>0</v>
      </c>
      <c r="R67" s="930">
        <f t="shared" si="23"/>
        <v>0</v>
      </c>
      <c r="S67" s="1459">
        <f t="shared" si="24"/>
        <v>0</v>
      </c>
    </row>
    <row r="68" spans="2:19" ht="14.25" x14ac:dyDescent="0.2">
      <c r="B68" s="1465">
        <v>5</v>
      </c>
      <c r="C68" s="1441">
        <v>2021</v>
      </c>
      <c r="D68" s="1458">
        <f t="shared" si="16"/>
        <v>157925000</v>
      </c>
      <c r="E68" s="1458">
        <f t="shared" si="17"/>
        <v>0</v>
      </c>
      <c r="F68" s="1466">
        <f t="shared" si="25"/>
        <v>157925000</v>
      </c>
      <c r="G68" s="1623">
        <f t="shared" si="18"/>
        <v>136227492.27386913</v>
      </c>
      <c r="H68" s="1623">
        <f t="shared" si="19"/>
        <v>112598342.39495833</v>
      </c>
      <c r="I68" s="1623">
        <f t="shared" si="20"/>
        <v>0</v>
      </c>
      <c r="J68" s="1623">
        <f t="shared" ref="J68:J90" si="27">E68/(1+$D$4)^B68</f>
        <v>0</v>
      </c>
      <c r="K68" s="1623">
        <f t="shared" si="26"/>
        <v>136227492.27386913</v>
      </c>
      <c r="L68" s="1459">
        <f t="shared" si="26"/>
        <v>112598342.39495833</v>
      </c>
      <c r="N68" s="1465">
        <v>5</v>
      </c>
      <c r="O68" s="1469">
        <v>2021</v>
      </c>
      <c r="P68" s="1468">
        <v>0</v>
      </c>
      <c r="Q68" s="922">
        <f t="shared" si="22"/>
        <v>0</v>
      </c>
      <c r="R68" s="930">
        <f t="shared" si="23"/>
        <v>0</v>
      </c>
      <c r="S68" s="1459">
        <f t="shared" si="24"/>
        <v>0</v>
      </c>
    </row>
    <row r="69" spans="2:19" ht="14.25" x14ac:dyDescent="0.2">
      <c r="B69" s="1465">
        <v>6</v>
      </c>
      <c r="C69" s="1441">
        <v>2022</v>
      </c>
      <c r="D69" s="1458">
        <f t="shared" si="16"/>
        <v>157925000</v>
      </c>
      <c r="E69" s="1458">
        <f t="shared" si="17"/>
        <v>0</v>
      </c>
      <c r="F69" s="1466">
        <f t="shared" si="25"/>
        <v>157925000</v>
      </c>
      <c r="G69" s="1623">
        <f t="shared" si="18"/>
        <v>132259701.23676613</v>
      </c>
      <c r="H69" s="1623">
        <f t="shared" si="19"/>
        <v>105232095.69622274</v>
      </c>
      <c r="I69" s="1623">
        <f t="shared" si="20"/>
        <v>0</v>
      </c>
      <c r="J69" s="1623">
        <f t="shared" si="27"/>
        <v>0</v>
      </c>
      <c r="K69" s="1623">
        <f t="shared" si="26"/>
        <v>132259701.23676613</v>
      </c>
      <c r="L69" s="1459">
        <f t="shared" si="26"/>
        <v>105232095.69622274</v>
      </c>
      <c r="N69" s="1465">
        <v>6</v>
      </c>
      <c r="O69" s="1469">
        <v>2022</v>
      </c>
      <c r="P69" s="1468">
        <v>0</v>
      </c>
      <c r="Q69" s="922">
        <f t="shared" si="22"/>
        <v>45963428.75</v>
      </c>
      <c r="R69" s="930">
        <f t="shared" si="23"/>
        <v>38493647.961325862</v>
      </c>
      <c r="S69" s="1459">
        <f t="shared" si="24"/>
        <v>25649942.98535984</v>
      </c>
    </row>
    <row r="70" spans="2:19" ht="14.25" x14ac:dyDescent="0.2">
      <c r="B70" s="1465">
        <v>7</v>
      </c>
      <c r="C70" s="1441">
        <v>2023</v>
      </c>
      <c r="D70" s="1458">
        <f t="shared" si="16"/>
        <v>0</v>
      </c>
      <c r="E70" s="1458">
        <f t="shared" si="17"/>
        <v>0</v>
      </c>
      <c r="F70" s="1466">
        <f t="shared" si="25"/>
        <v>0</v>
      </c>
      <c r="G70" s="1623">
        <f t="shared" si="18"/>
        <v>0</v>
      </c>
      <c r="H70" s="1623">
        <f t="shared" si="19"/>
        <v>0</v>
      </c>
      <c r="I70" s="1623">
        <f t="shared" si="20"/>
        <v>0</v>
      </c>
      <c r="J70" s="1623">
        <f t="shared" si="27"/>
        <v>0</v>
      </c>
      <c r="K70" s="1623">
        <f t="shared" si="26"/>
        <v>0</v>
      </c>
      <c r="L70" s="1459">
        <f t="shared" si="26"/>
        <v>0</v>
      </c>
      <c r="N70" s="1465">
        <v>7</v>
      </c>
      <c r="O70" s="1469">
        <v>2023</v>
      </c>
      <c r="P70" s="1468">
        <v>0</v>
      </c>
      <c r="Q70" s="922">
        <f t="shared" si="22"/>
        <v>45963428.75</v>
      </c>
      <c r="R70" s="930">
        <f t="shared" si="23"/>
        <v>37372473.748860054</v>
      </c>
      <c r="S70" s="1459">
        <f t="shared" si="24"/>
        <v>23273698.380691256</v>
      </c>
    </row>
    <row r="71" spans="2:19" ht="14.25" x14ac:dyDescent="0.2">
      <c r="B71" s="1465">
        <v>8</v>
      </c>
      <c r="C71" s="1441">
        <v>2024</v>
      </c>
      <c r="D71" s="1458">
        <f t="shared" si="16"/>
        <v>0</v>
      </c>
      <c r="E71" s="1458">
        <f t="shared" si="17"/>
        <v>0</v>
      </c>
      <c r="F71" s="1466">
        <f t="shared" si="25"/>
        <v>0</v>
      </c>
      <c r="G71" s="1623">
        <f t="shared" si="18"/>
        <v>0</v>
      </c>
      <c r="H71" s="1623">
        <f t="shared" si="19"/>
        <v>0</v>
      </c>
      <c r="I71" s="1623">
        <f t="shared" si="20"/>
        <v>0</v>
      </c>
      <c r="J71" s="1623">
        <f t="shared" si="27"/>
        <v>0</v>
      </c>
      <c r="K71" s="1623">
        <f t="shared" si="26"/>
        <v>0</v>
      </c>
      <c r="L71" s="1459">
        <f t="shared" si="26"/>
        <v>0</v>
      </c>
      <c r="N71" s="1465">
        <v>8</v>
      </c>
      <c r="O71" s="1469">
        <v>2024</v>
      </c>
      <c r="P71" s="1468">
        <v>0</v>
      </c>
      <c r="Q71" s="922">
        <f t="shared" si="22"/>
        <v>0</v>
      </c>
      <c r="R71" s="930">
        <f t="shared" si="23"/>
        <v>0</v>
      </c>
      <c r="S71" s="1459">
        <f t="shared" si="24"/>
        <v>0</v>
      </c>
    </row>
    <row r="72" spans="2:19" ht="14.25" x14ac:dyDescent="0.2">
      <c r="B72" s="1465">
        <v>9</v>
      </c>
      <c r="C72" s="1441">
        <v>2025</v>
      </c>
      <c r="D72" s="1458">
        <f t="shared" si="16"/>
        <v>0</v>
      </c>
      <c r="E72" s="1458">
        <f t="shared" si="17"/>
        <v>0</v>
      </c>
      <c r="F72" s="1466">
        <f t="shared" si="25"/>
        <v>0</v>
      </c>
      <c r="G72" s="1623">
        <f t="shared" si="18"/>
        <v>0</v>
      </c>
      <c r="H72" s="1623">
        <f t="shared" si="19"/>
        <v>0</v>
      </c>
      <c r="I72" s="1623">
        <f t="shared" si="20"/>
        <v>0</v>
      </c>
      <c r="J72" s="1623">
        <f t="shared" si="27"/>
        <v>0</v>
      </c>
      <c r="K72" s="1623">
        <f t="shared" si="26"/>
        <v>0</v>
      </c>
      <c r="L72" s="1459">
        <f t="shared" si="26"/>
        <v>0</v>
      </c>
      <c r="N72" s="1465">
        <v>9</v>
      </c>
      <c r="O72" s="1469">
        <v>2025</v>
      </c>
      <c r="P72" s="1468">
        <v>0</v>
      </c>
      <c r="Q72" s="922">
        <f t="shared" si="22"/>
        <v>0</v>
      </c>
      <c r="R72" s="930">
        <f t="shared" si="23"/>
        <v>0</v>
      </c>
      <c r="S72" s="1459">
        <f t="shared" si="24"/>
        <v>0</v>
      </c>
    </row>
    <row r="73" spans="2:19" ht="14.25" x14ac:dyDescent="0.2">
      <c r="B73" s="1465">
        <v>10</v>
      </c>
      <c r="C73" s="1441">
        <v>2026</v>
      </c>
      <c r="D73" s="1458">
        <f t="shared" si="16"/>
        <v>0</v>
      </c>
      <c r="E73" s="1458">
        <f t="shared" si="17"/>
        <v>0</v>
      </c>
      <c r="F73" s="1466">
        <f t="shared" si="25"/>
        <v>0</v>
      </c>
      <c r="G73" s="1623">
        <f t="shared" si="18"/>
        <v>0</v>
      </c>
      <c r="H73" s="1623">
        <f t="shared" si="19"/>
        <v>0</v>
      </c>
      <c r="I73" s="1623">
        <f t="shared" si="20"/>
        <v>0</v>
      </c>
      <c r="J73" s="1623">
        <f t="shared" si="27"/>
        <v>0</v>
      </c>
      <c r="K73" s="1623">
        <f t="shared" si="26"/>
        <v>0</v>
      </c>
      <c r="L73" s="1459">
        <f t="shared" si="26"/>
        <v>0</v>
      </c>
      <c r="N73" s="1465">
        <v>10</v>
      </c>
      <c r="O73" s="1469">
        <v>2026</v>
      </c>
      <c r="P73" s="1468">
        <v>0</v>
      </c>
      <c r="Q73" s="922">
        <f t="shared" si="22"/>
        <v>23120253</v>
      </c>
      <c r="R73" s="930">
        <f t="shared" si="23"/>
        <v>17203639.568172757</v>
      </c>
      <c r="S73" s="1459">
        <f t="shared" si="24"/>
        <v>8745457.996621443</v>
      </c>
    </row>
    <row r="74" spans="2:19" ht="14.25" x14ac:dyDescent="0.2">
      <c r="B74" s="1465">
        <v>11</v>
      </c>
      <c r="C74" s="1441">
        <v>2027</v>
      </c>
      <c r="D74" s="1458">
        <f t="shared" si="16"/>
        <v>0</v>
      </c>
      <c r="E74" s="1458">
        <f t="shared" si="17"/>
        <v>0</v>
      </c>
      <c r="F74" s="1466">
        <f t="shared" si="25"/>
        <v>0</v>
      </c>
      <c r="G74" s="1623">
        <f t="shared" si="18"/>
        <v>0</v>
      </c>
      <c r="H74" s="1623">
        <f t="shared" si="19"/>
        <v>0</v>
      </c>
      <c r="I74" s="1623">
        <f t="shared" si="20"/>
        <v>0</v>
      </c>
      <c r="J74" s="1623">
        <f t="shared" si="27"/>
        <v>0</v>
      </c>
      <c r="K74" s="1623">
        <f t="shared" si="26"/>
        <v>0</v>
      </c>
      <c r="L74" s="1459">
        <f t="shared" si="26"/>
        <v>0</v>
      </c>
      <c r="N74" s="1465">
        <v>11</v>
      </c>
      <c r="O74" s="1469">
        <v>2027</v>
      </c>
      <c r="P74" s="1468">
        <v>0</v>
      </c>
      <c r="Q74" s="922">
        <f t="shared" si="22"/>
        <v>0</v>
      </c>
      <c r="R74" s="930">
        <f t="shared" si="23"/>
        <v>0</v>
      </c>
      <c r="S74" s="1459">
        <f t="shared" si="24"/>
        <v>0</v>
      </c>
    </row>
    <row r="75" spans="2:19" ht="14.25" x14ac:dyDescent="0.2">
      <c r="B75" s="1465">
        <v>12</v>
      </c>
      <c r="C75" s="1441">
        <v>2028</v>
      </c>
      <c r="D75" s="1458">
        <f t="shared" si="16"/>
        <v>0</v>
      </c>
      <c r="E75" s="1458">
        <f t="shared" si="17"/>
        <v>0</v>
      </c>
      <c r="F75" s="1466">
        <f t="shared" si="25"/>
        <v>0</v>
      </c>
      <c r="G75" s="1623">
        <f t="shared" si="18"/>
        <v>0</v>
      </c>
      <c r="H75" s="1623">
        <f t="shared" si="19"/>
        <v>0</v>
      </c>
      <c r="I75" s="1623">
        <f t="shared" si="20"/>
        <v>0</v>
      </c>
      <c r="J75" s="1623">
        <f t="shared" si="27"/>
        <v>0</v>
      </c>
      <c r="K75" s="1623">
        <f t="shared" si="26"/>
        <v>0</v>
      </c>
      <c r="L75" s="1459">
        <f t="shared" si="26"/>
        <v>0</v>
      </c>
      <c r="N75" s="1465">
        <v>12</v>
      </c>
      <c r="O75" s="1469">
        <v>2028</v>
      </c>
      <c r="P75" s="1468">
        <v>0</v>
      </c>
      <c r="Q75" s="922">
        <f t="shared" si="22"/>
        <v>0</v>
      </c>
      <c r="R75" s="930">
        <f t="shared" si="23"/>
        <v>0</v>
      </c>
      <c r="S75" s="1459">
        <f t="shared" si="24"/>
        <v>0</v>
      </c>
    </row>
    <row r="76" spans="2:19" ht="14.25" x14ac:dyDescent="0.2">
      <c r="B76" s="1465">
        <v>13</v>
      </c>
      <c r="C76" s="1441">
        <v>2029</v>
      </c>
      <c r="D76" s="1458">
        <f t="shared" si="16"/>
        <v>0</v>
      </c>
      <c r="E76" s="1458">
        <f t="shared" si="17"/>
        <v>8365202.9944582647</v>
      </c>
      <c r="F76" s="1466">
        <f t="shared" si="25"/>
        <v>8365202.9944582647</v>
      </c>
      <c r="G76" s="1623">
        <f t="shared" si="18"/>
        <v>0</v>
      </c>
      <c r="H76" s="1623">
        <f t="shared" si="19"/>
        <v>0</v>
      </c>
      <c r="I76" s="1623">
        <f t="shared" si="20"/>
        <v>5696296.1883912999</v>
      </c>
      <c r="J76" s="1623">
        <f t="shared" si="27"/>
        <v>3471261.8420709153</v>
      </c>
      <c r="K76" s="1623">
        <f t="shared" si="26"/>
        <v>5696296.1883912999</v>
      </c>
      <c r="L76" s="1459">
        <f t="shared" si="26"/>
        <v>3471261.8420709153</v>
      </c>
      <c r="N76" s="1465">
        <v>13</v>
      </c>
      <c r="O76" s="1469">
        <v>2029</v>
      </c>
      <c r="P76" s="1468">
        <v>0</v>
      </c>
      <c r="Q76" s="922">
        <f t="shared" si="22"/>
        <v>0</v>
      </c>
      <c r="R76" s="930">
        <f t="shared" si="23"/>
        <v>0</v>
      </c>
      <c r="S76" s="1459">
        <f t="shared" si="24"/>
        <v>0</v>
      </c>
    </row>
    <row r="77" spans="2:19" ht="14.25" x14ac:dyDescent="0.2">
      <c r="B77" s="1465">
        <v>14</v>
      </c>
      <c r="C77" s="1441">
        <v>2030</v>
      </c>
      <c r="D77" s="1458">
        <f t="shared" si="16"/>
        <v>0</v>
      </c>
      <c r="E77" s="1458">
        <f t="shared" si="17"/>
        <v>0</v>
      </c>
      <c r="F77" s="1466">
        <f t="shared" si="25"/>
        <v>0</v>
      </c>
      <c r="G77" s="1623">
        <f t="shared" si="18"/>
        <v>0</v>
      </c>
      <c r="H77" s="1623">
        <f t="shared" si="19"/>
        <v>0</v>
      </c>
      <c r="I77" s="1623">
        <f t="shared" si="20"/>
        <v>0</v>
      </c>
      <c r="J77" s="1623">
        <f t="shared" si="27"/>
        <v>0</v>
      </c>
      <c r="K77" s="1623">
        <f t="shared" si="26"/>
        <v>0</v>
      </c>
      <c r="L77" s="1459">
        <f t="shared" si="26"/>
        <v>0</v>
      </c>
      <c r="N77" s="1465">
        <v>14</v>
      </c>
      <c r="O77" s="1469">
        <v>2030</v>
      </c>
      <c r="P77" s="1468">
        <v>0</v>
      </c>
      <c r="Q77" s="922">
        <f t="shared" si="22"/>
        <v>26636000</v>
      </c>
      <c r="R77" s="930">
        <f t="shared" si="23"/>
        <v>17609533.875784744</v>
      </c>
      <c r="S77" s="1459">
        <f t="shared" si="24"/>
        <v>6829280.8433079589</v>
      </c>
    </row>
    <row r="78" spans="2:19" ht="14.25" x14ac:dyDescent="0.2">
      <c r="B78" s="1465">
        <v>15</v>
      </c>
      <c r="C78" s="1441">
        <v>2031</v>
      </c>
      <c r="D78" s="1458">
        <f t="shared" si="16"/>
        <v>0</v>
      </c>
      <c r="E78" s="1458">
        <f t="shared" si="17"/>
        <v>0</v>
      </c>
      <c r="F78" s="1466">
        <f t="shared" si="25"/>
        <v>0</v>
      </c>
      <c r="G78" s="1623">
        <f t="shared" si="18"/>
        <v>0</v>
      </c>
      <c r="H78" s="1623">
        <f t="shared" si="19"/>
        <v>0</v>
      </c>
      <c r="I78" s="1623">
        <f t="shared" si="20"/>
        <v>0</v>
      </c>
      <c r="J78" s="1623">
        <f t="shared" si="27"/>
        <v>0</v>
      </c>
      <c r="K78" s="1623">
        <f t="shared" si="26"/>
        <v>0</v>
      </c>
      <c r="L78" s="1459">
        <f t="shared" si="26"/>
        <v>0</v>
      </c>
      <c r="N78" s="1465">
        <v>15</v>
      </c>
      <c r="O78" s="1469">
        <v>2031</v>
      </c>
      <c r="P78" s="1468">
        <v>0</v>
      </c>
      <c r="Q78" s="922">
        <f t="shared" si="22"/>
        <v>26636000</v>
      </c>
      <c r="R78" s="930">
        <f t="shared" si="23"/>
        <v>17096634.830858972</v>
      </c>
      <c r="S78" s="1459">
        <f t="shared" si="24"/>
        <v>6196607.2437237613</v>
      </c>
    </row>
    <row r="79" spans="2:19" ht="14.25" x14ac:dyDescent="0.2">
      <c r="B79" s="1465">
        <v>16</v>
      </c>
      <c r="C79" s="1441">
        <v>2032</v>
      </c>
      <c r="D79" s="1458">
        <f t="shared" si="16"/>
        <v>0</v>
      </c>
      <c r="E79" s="1458">
        <f t="shared" si="17"/>
        <v>0</v>
      </c>
      <c r="F79" s="1466">
        <f t="shared" si="25"/>
        <v>0</v>
      </c>
      <c r="G79" s="1623">
        <f t="shared" si="18"/>
        <v>0</v>
      </c>
      <c r="H79" s="1623">
        <f t="shared" si="19"/>
        <v>0</v>
      </c>
      <c r="I79" s="1623">
        <f t="shared" si="20"/>
        <v>0</v>
      </c>
      <c r="J79" s="1623">
        <f t="shared" si="27"/>
        <v>0</v>
      </c>
      <c r="K79" s="1623">
        <f t="shared" si="26"/>
        <v>0</v>
      </c>
      <c r="L79" s="1459">
        <f t="shared" si="26"/>
        <v>0</v>
      </c>
      <c r="N79" s="1465">
        <v>16</v>
      </c>
      <c r="O79" s="1469">
        <v>2032</v>
      </c>
      <c r="P79" s="1468">
        <v>0</v>
      </c>
      <c r="Q79" s="922">
        <f t="shared" si="22"/>
        <v>0</v>
      </c>
      <c r="R79" s="930">
        <f t="shared" si="23"/>
        <v>0</v>
      </c>
      <c r="S79" s="1459">
        <f t="shared" si="24"/>
        <v>0</v>
      </c>
    </row>
    <row r="80" spans="2:19" ht="14.25" x14ac:dyDescent="0.2">
      <c r="B80" s="1465">
        <v>17</v>
      </c>
      <c r="C80" s="1441">
        <v>2033</v>
      </c>
      <c r="D80" s="1458">
        <f t="shared" si="16"/>
        <v>0</v>
      </c>
      <c r="E80" s="1458">
        <f t="shared" si="17"/>
        <v>0</v>
      </c>
      <c r="F80" s="1466">
        <f t="shared" si="25"/>
        <v>0</v>
      </c>
      <c r="G80" s="1623">
        <f t="shared" si="18"/>
        <v>0</v>
      </c>
      <c r="H80" s="1623">
        <f t="shared" si="19"/>
        <v>0</v>
      </c>
      <c r="I80" s="1623">
        <f t="shared" si="20"/>
        <v>0</v>
      </c>
      <c r="J80" s="1623">
        <f t="shared" si="27"/>
        <v>0</v>
      </c>
      <c r="K80" s="1623">
        <f t="shared" si="26"/>
        <v>0</v>
      </c>
      <c r="L80" s="1459">
        <f t="shared" si="26"/>
        <v>0</v>
      </c>
      <c r="N80" s="1465">
        <v>17</v>
      </c>
      <c r="O80" s="1469">
        <v>2033</v>
      </c>
      <c r="P80" s="1468">
        <v>0</v>
      </c>
      <c r="Q80" s="922">
        <f t="shared" si="22"/>
        <v>0</v>
      </c>
      <c r="R80" s="930">
        <f t="shared" si="23"/>
        <v>0</v>
      </c>
      <c r="S80" s="1459">
        <f t="shared" si="24"/>
        <v>0</v>
      </c>
    </row>
    <row r="81" spans="2:19" ht="14.25" x14ac:dyDescent="0.2">
      <c r="B81" s="1465">
        <v>18</v>
      </c>
      <c r="C81" s="1441">
        <v>2034</v>
      </c>
      <c r="D81" s="1458">
        <f t="shared" si="16"/>
        <v>0</v>
      </c>
      <c r="E81" s="1458">
        <f t="shared" si="17"/>
        <v>0</v>
      </c>
      <c r="F81" s="1466">
        <f t="shared" si="25"/>
        <v>0</v>
      </c>
      <c r="G81" s="1623">
        <f t="shared" si="18"/>
        <v>0</v>
      </c>
      <c r="H81" s="1623">
        <f t="shared" si="19"/>
        <v>0</v>
      </c>
      <c r="I81" s="1623">
        <f t="shared" si="20"/>
        <v>0</v>
      </c>
      <c r="J81" s="1623">
        <f t="shared" si="27"/>
        <v>0</v>
      </c>
      <c r="K81" s="1623">
        <f t="shared" si="26"/>
        <v>0</v>
      </c>
      <c r="L81" s="1459">
        <f t="shared" si="26"/>
        <v>0</v>
      </c>
      <c r="N81" s="1465">
        <v>18</v>
      </c>
      <c r="O81" s="1469">
        <v>2034</v>
      </c>
      <c r="P81" s="1468">
        <v>0</v>
      </c>
      <c r="Q81" s="922">
        <f t="shared" si="22"/>
        <v>0</v>
      </c>
      <c r="R81" s="930">
        <f t="shared" si="23"/>
        <v>0</v>
      </c>
      <c r="S81" s="1459">
        <f t="shared" si="24"/>
        <v>0</v>
      </c>
    </row>
    <row r="82" spans="2:19" ht="14.25" x14ac:dyDescent="0.2">
      <c r="B82" s="1465">
        <v>19</v>
      </c>
      <c r="C82" s="1441">
        <v>2035</v>
      </c>
      <c r="D82" s="1458">
        <f t="shared" si="16"/>
        <v>0</v>
      </c>
      <c r="E82" s="1458">
        <f t="shared" si="17"/>
        <v>0</v>
      </c>
      <c r="F82" s="1466">
        <f t="shared" si="25"/>
        <v>0</v>
      </c>
      <c r="G82" s="1623">
        <f t="shared" si="18"/>
        <v>0</v>
      </c>
      <c r="H82" s="1623">
        <f t="shared" si="19"/>
        <v>0</v>
      </c>
      <c r="I82" s="1623">
        <f t="shared" si="20"/>
        <v>0</v>
      </c>
      <c r="J82" s="1623">
        <f t="shared" si="27"/>
        <v>0</v>
      </c>
      <c r="K82" s="1623">
        <f t="shared" si="26"/>
        <v>0</v>
      </c>
      <c r="L82" s="1459">
        <f t="shared" si="26"/>
        <v>0</v>
      </c>
      <c r="N82" s="1465">
        <v>19</v>
      </c>
      <c r="O82" s="1469">
        <v>2035</v>
      </c>
      <c r="P82" s="1468">
        <v>0</v>
      </c>
      <c r="Q82" s="922">
        <f t="shared" si="22"/>
        <v>0</v>
      </c>
      <c r="R82" s="930">
        <f t="shared" si="23"/>
        <v>0</v>
      </c>
      <c r="S82" s="1459">
        <f t="shared" si="24"/>
        <v>0</v>
      </c>
    </row>
    <row r="83" spans="2:19" ht="14.25" x14ac:dyDescent="0.2">
      <c r="B83" s="1465">
        <v>20</v>
      </c>
      <c r="C83" s="1441">
        <v>2036</v>
      </c>
      <c r="D83" s="1458">
        <f t="shared" si="16"/>
        <v>0</v>
      </c>
      <c r="E83" s="1458">
        <f t="shared" si="17"/>
        <v>8365202.9944582647</v>
      </c>
      <c r="F83" s="1466">
        <f t="shared" si="25"/>
        <v>8365202.9944582647</v>
      </c>
      <c r="G83" s="1623">
        <f t="shared" si="18"/>
        <v>0</v>
      </c>
      <c r="H83" s="1623">
        <f t="shared" si="19"/>
        <v>0</v>
      </c>
      <c r="I83" s="1623">
        <f t="shared" si="20"/>
        <v>4631610.0768784676</v>
      </c>
      <c r="J83" s="1623">
        <f t="shared" si="27"/>
        <v>2161727.4161634929</v>
      </c>
      <c r="K83" s="1623">
        <f t="shared" si="26"/>
        <v>4631610.0768784676</v>
      </c>
      <c r="L83" s="1459">
        <f t="shared" si="26"/>
        <v>2161727.4161634929</v>
      </c>
      <c r="N83" s="1465">
        <v>20</v>
      </c>
      <c r="O83" s="1469">
        <v>2036</v>
      </c>
      <c r="P83" s="1468">
        <v>0</v>
      </c>
      <c r="Q83" s="922">
        <f t="shared" si="22"/>
        <v>12001664.974259999</v>
      </c>
      <c r="R83" s="930">
        <f t="shared" si="23"/>
        <v>6645030.9061151249</v>
      </c>
      <c r="S83" s="1459">
        <f t="shared" si="24"/>
        <v>1717202.2604256088</v>
      </c>
    </row>
    <row r="84" spans="2:19" ht="14.25" x14ac:dyDescent="0.2">
      <c r="B84" s="1465">
        <v>21</v>
      </c>
      <c r="C84" s="1441">
        <v>2037</v>
      </c>
      <c r="D84" s="1458">
        <f t="shared" si="16"/>
        <v>0</v>
      </c>
      <c r="E84" s="1458">
        <f t="shared" si="17"/>
        <v>0</v>
      </c>
      <c r="F84" s="1466">
        <f t="shared" si="25"/>
        <v>0</v>
      </c>
      <c r="G84" s="1623">
        <f t="shared" si="18"/>
        <v>0</v>
      </c>
      <c r="H84" s="1623">
        <f t="shared" si="19"/>
        <v>0</v>
      </c>
      <c r="I84" s="1623">
        <f t="shared" si="20"/>
        <v>0</v>
      </c>
      <c r="J84" s="1623">
        <f t="shared" si="27"/>
        <v>0</v>
      </c>
      <c r="K84" s="1623">
        <f t="shared" si="26"/>
        <v>0</v>
      </c>
      <c r="L84" s="1459">
        <f t="shared" si="26"/>
        <v>0</v>
      </c>
      <c r="N84" s="1465">
        <v>21</v>
      </c>
      <c r="O84" s="1469">
        <v>2037</v>
      </c>
      <c r="P84" s="1468">
        <v>0</v>
      </c>
      <c r="Q84" s="922">
        <f t="shared" si="22"/>
        <v>12001664.974259999</v>
      </c>
      <c r="R84" s="930">
        <f t="shared" si="23"/>
        <v>6451486.3166166274</v>
      </c>
      <c r="S84" s="1459">
        <f t="shared" si="24"/>
        <v>1558118.3743994276</v>
      </c>
    </row>
    <row r="85" spans="2:19" ht="14.25" x14ac:dyDescent="0.2">
      <c r="B85" s="1465">
        <v>22</v>
      </c>
      <c r="C85" s="1441">
        <v>2038</v>
      </c>
      <c r="D85" s="1458">
        <f t="shared" si="16"/>
        <v>0</v>
      </c>
      <c r="E85" s="1458">
        <f t="shared" si="17"/>
        <v>0</v>
      </c>
      <c r="F85" s="1466">
        <f t="shared" si="25"/>
        <v>0</v>
      </c>
      <c r="G85" s="1623">
        <f t="shared" si="18"/>
        <v>0</v>
      </c>
      <c r="H85" s="1623">
        <f t="shared" si="19"/>
        <v>0</v>
      </c>
      <c r="I85" s="1623">
        <f t="shared" si="20"/>
        <v>0</v>
      </c>
      <c r="J85" s="1623">
        <f t="shared" si="27"/>
        <v>0</v>
      </c>
      <c r="K85" s="1623">
        <f t="shared" si="26"/>
        <v>0</v>
      </c>
      <c r="L85" s="1459">
        <f t="shared" si="26"/>
        <v>0</v>
      </c>
      <c r="N85" s="1465">
        <v>22</v>
      </c>
      <c r="O85" s="1469">
        <v>2038</v>
      </c>
      <c r="P85" s="1468">
        <v>0</v>
      </c>
      <c r="Q85" s="922">
        <f t="shared" si="22"/>
        <v>0</v>
      </c>
      <c r="R85" s="930">
        <f t="shared" si="23"/>
        <v>0</v>
      </c>
      <c r="S85" s="1459">
        <f t="shared" si="24"/>
        <v>0</v>
      </c>
    </row>
    <row r="86" spans="2:19" ht="14.25" x14ac:dyDescent="0.2">
      <c r="B86" s="1465">
        <v>23</v>
      </c>
      <c r="C86" s="1441">
        <v>2039</v>
      </c>
      <c r="D86" s="1458">
        <f t="shared" si="16"/>
        <v>0</v>
      </c>
      <c r="E86" s="1458">
        <f t="shared" si="17"/>
        <v>0</v>
      </c>
      <c r="F86" s="1466">
        <f t="shared" si="25"/>
        <v>0</v>
      </c>
      <c r="G86" s="1623">
        <f t="shared" si="18"/>
        <v>0</v>
      </c>
      <c r="H86" s="1623">
        <f t="shared" si="19"/>
        <v>0</v>
      </c>
      <c r="I86" s="1623">
        <f t="shared" si="20"/>
        <v>0</v>
      </c>
      <c r="J86" s="1623">
        <f t="shared" si="27"/>
        <v>0</v>
      </c>
      <c r="K86" s="1623">
        <f t="shared" si="26"/>
        <v>0</v>
      </c>
      <c r="L86" s="1459">
        <f t="shared" si="26"/>
        <v>0</v>
      </c>
      <c r="N86" s="1465">
        <v>23</v>
      </c>
      <c r="O86" s="1469">
        <v>2039</v>
      </c>
      <c r="P86" s="1468">
        <v>0</v>
      </c>
      <c r="Q86" s="922">
        <f t="shared" si="22"/>
        <v>0</v>
      </c>
      <c r="R86" s="930">
        <f t="shared" si="23"/>
        <v>0</v>
      </c>
      <c r="S86" s="1459">
        <f t="shared" si="24"/>
        <v>0</v>
      </c>
    </row>
    <row r="87" spans="2:19" ht="14.25" x14ac:dyDescent="0.2">
      <c r="B87" s="1465">
        <v>24</v>
      </c>
      <c r="C87" s="1441">
        <v>2040</v>
      </c>
      <c r="D87" s="1458">
        <f t="shared" si="16"/>
        <v>0</v>
      </c>
      <c r="E87" s="1458">
        <f t="shared" si="17"/>
        <v>0</v>
      </c>
      <c r="F87" s="1466">
        <f t="shared" si="25"/>
        <v>0</v>
      </c>
      <c r="G87" s="1623">
        <f t="shared" si="18"/>
        <v>0</v>
      </c>
      <c r="H87" s="1623">
        <f t="shared" si="19"/>
        <v>0</v>
      </c>
      <c r="I87" s="1623">
        <f t="shared" si="20"/>
        <v>0</v>
      </c>
      <c r="J87" s="1623">
        <f t="shared" si="27"/>
        <v>0</v>
      </c>
      <c r="K87" s="1623">
        <f t="shared" si="26"/>
        <v>0</v>
      </c>
      <c r="L87" s="1459">
        <f t="shared" si="26"/>
        <v>0</v>
      </c>
      <c r="N87" s="1465">
        <v>24</v>
      </c>
      <c r="O87" s="1469">
        <v>2040</v>
      </c>
      <c r="P87" s="1468">
        <v>0</v>
      </c>
      <c r="Q87" s="922">
        <f t="shared" si="22"/>
        <v>0</v>
      </c>
      <c r="R87" s="930">
        <f t="shared" si="23"/>
        <v>0</v>
      </c>
      <c r="S87" s="1459">
        <f t="shared" si="24"/>
        <v>0</v>
      </c>
    </row>
    <row r="88" spans="2:19" ht="14.25" x14ac:dyDescent="0.2">
      <c r="B88" s="1465">
        <v>25</v>
      </c>
      <c r="C88" s="1441">
        <v>2041</v>
      </c>
      <c r="D88" s="1458">
        <f t="shared" si="16"/>
        <v>0</v>
      </c>
      <c r="E88" s="1458">
        <f t="shared" si="17"/>
        <v>0</v>
      </c>
      <c r="F88" s="1466">
        <f t="shared" si="25"/>
        <v>0</v>
      </c>
      <c r="G88" s="1623">
        <f t="shared" si="18"/>
        <v>0</v>
      </c>
      <c r="H88" s="1623">
        <f t="shared" si="19"/>
        <v>0</v>
      </c>
      <c r="I88" s="1623">
        <f t="shared" si="20"/>
        <v>0</v>
      </c>
      <c r="J88" s="1623">
        <f t="shared" si="27"/>
        <v>0</v>
      </c>
      <c r="K88" s="1623">
        <f t="shared" ref="K88:K90" si="28">G88+I88</f>
        <v>0</v>
      </c>
      <c r="L88" s="1459">
        <f t="shared" ref="L88:L90" si="29">H88+J88</f>
        <v>0</v>
      </c>
      <c r="N88" s="1465">
        <v>25</v>
      </c>
      <c r="O88" s="1469">
        <v>2041</v>
      </c>
      <c r="P88" s="1468">
        <v>0</v>
      </c>
      <c r="Q88" s="922">
        <f t="shared" si="22"/>
        <v>0</v>
      </c>
      <c r="R88" s="930">
        <f t="shared" si="23"/>
        <v>0</v>
      </c>
      <c r="S88" s="1459">
        <f t="shared" si="24"/>
        <v>0</v>
      </c>
    </row>
    <row r="89" spans="2:19" ht="14.25" x14ac:dyDescent="0.2">
      <c r="B89" s="1465">
        <v>26</v>
      </c>
      <c r="C89" s="1441">
        <v>2042</v>
      </c>
      <c r="D89" s="1458">
        <f t="shared" si="16"/>
        <v>0</v>
      </c>
      <c r="E89" s="1458">
        <f t="shared" si="17"/>
        <v>0</v>
      </c>
      <c r="F89" s="1466">
        <f t="shared" si="25"/>
        <v>0</v>
      </c>
      <c r="G89" s="1623">
        <f t="shared" si="18"/>
        <v>0</v>
      </c>
      <c r="H89" s="1623">
        <f t="shared" si="19"/>
        <v>0</v>
      </c>
      <c r="I89" s="1623">
        <f t="shared" si="20"/>
        <v>0</v>
      </c>
      <c r="J89" s="1623">
        <f t="shared" si="27"/>
        <v>0</v>
      </c>
      <c r="K89" s="1623">
        <f t="shared" si="28"/>
        <v>0</v>
      </c>
      <c r="L89" s="1459">
        <f t="shared" si="29"/>
        <v>0</v>
      </c>
      <c r="N89" s="1465">
        <v>26</v>
      </c>
      <c r="O89" s="1469">
        <v>2042</v>
      </c>
      <c r="P89" s="1468">
        <v>0</v>
      </c>
      <c r="Q89" s="922">
        <f t="shared" si="22"/>
        <v>0</v>
      </c>
      <c r="R89" s="930">
        <f t="shared" si="23"/>
        <v>0</v>
      </c>
      <c r="S89" s="1459">
        <f t="shared" si="24"/>
        <v>0</v>
      </c>
    </row>
    <row r="90" spans="2:19" ht="14.25" x14ac:dyDescent="0.2">
      <c r="B90" s="1465">
        <v>27</v>
      </c>
      <c r="C90" s="1441">
        <v>2043</v>
      </c>
      <c r="D90" s="1458">
        <f t="shared" si="16"/>
        <v>0</v>
      </c>
      <c r="E90" s="1458">
        <f t="shared" si="17"/>
        <v>8365202.9944582647</v>
      </c>
      <c r="F90" s="1466">
        <f t="shared" si="25"/>
        <v>8365202.9944582647</v>
      </c>
      <c r="G90" s="1623">
        <f t="shared" si="18"/>
        <v>0</v>
      </c>
      <c r="H90" s="1623">
        <f t="shared" si="19"/>
        <v>0</v>
      </c>
      <c r="I90" s="1623">
        <f t="shared" si="20"/>
        <v>3765922.83736222</v>
      </c>
      <c r="J90" s="1623">
        <f t="shared" si="27"/>
        <v>1346215.1904406592</v>
      </c>
      <c r="K90" s="1623">
        <f t="shared" si="28"/>
        <v>3765922.83736222</v>
      </c>
      <c r="L90" s="1459">
        <f t="shared" si="29"/>
        <v>1346215.1904406592</v>
      </c>
      <c r="N90" s="1465">
        <v>27</v>
      </c>
      <c r="O90" s="1469">
        <v>2043</v>
      </c>
      <c r="P90" s="1468">
        <v>0</v>
      </c>
      <c r="Q90" s="922">
        <f t="shared" si="22"/>
        <v>0</v>
      </c>
      <c r="R90" s="930">
        <f t="shared" si="23"/>
        <v>0</v>
      </c>
      <c r="S90" s="1459">
        <f t="shared" si="24"/>
        <v>0</v>
      </c>
    </row>
    <row r="91" spans="2:19" ht="15" thickBot="1" x14ac:dyDescent="0.25">
      <c r="B91" s="943" t="s">
        <v>314</v>
      </c>
      <c r="C91" s="1460"/>
      <c r="D91" s="1716">
        <f t="shared" ref="D91" si="30">SUM(D63:D90)</f>
        <v>631700000</v>
      </c>
      <c r="E91" s="1716">
        <f>SUM(E63:E90)</f>
        <v>25095608.983374793</v>
      </c>
      <c r="F91" s="1716">
        <f>SUM(F63:F90)</f>
        <v>656795608.98337495</v>
      </c>
      <c r="G91" s="1716">
        <f t="shared" ref="G91:L91" si="31">SUM(G63:G90)</f>
        <v>553325257.10606813</v>
      </c>
      <c r="H91" s="1716">
        <f t="shared" si="31"/>
        <v>467224506.66177428</v>
      </c>
      <c r="I91" s="1716">
        <f t="shared" si="31"/>
        <v>14093829.102631988</v>
      </c>
      <c r="J91" s="1716">
        <f t="shared" si="31"/>
        <v>6979204.4486750672</v>
      </c>
      <c r="K91" s="1716">
        <f t="shared" si="31"/>
        <v>567419086.20870006</v>
      </c>
      <c r="L91" s="1461">
        <f t="shared" si="31"/>
        <v>474203711.11044937</v>
      </c>
      <c r="N91" s="943" t="s">
        <v>314</v>
      </c>
      <c r="O91" s="935"/>
      <c r="P91" s="1461">
        <f t="shared" ref="P91:S91" si="32">SUM(P63:P90)</f>
        <v>0</v>
      </c>
      <c r="Q91" s="1461">
        <f t="shared" si="32"/>
        <v>192322440.44852</v>
      </c>
      <c r="R91" s="1461">
        <f t="shared" si="32"/>
        <v>140872447.20773414</v>
      </c>
      <c r="S91" s="1461">
        <f t="shared" si="32"/>
        <v>73970308.084529296</v>
      </c>
    </row>
    <row r="93" spans="2:19" ht="14.25" x14ac:dyDescent="0.2">
      <c r="C93" s="1428" t="s">
        <v>1001</v>
      </c>
      <c r="D93" s="1428"/>
      <c r="E93" s="1575"/>
    </row>
    <row r="95" spans="2:19" ht="14.25" x14ac:dyDescent="0.2">
      <c r="C95" s="1791" t="s">
        <v>1002</v>
      </c>
      <c r="D95" s="1791"/>
      <c r="E95" s="1466">
        <f>D91</f>
        <v>631700000</v>
      </c>
      <c r="J95" s="1462"/>
    </row>
    <row r="96" spans="2:19" ht="14.25" x14ac:dyDescent="0.2">
      <c r="B96" s="895">
        <v>2016</v>
      </c>
      <c r="C96" s="1791" t="s">
        <v>1003</v>
      </c>
      <c r="D96" s="1791"/>
      <c r="E96" s="1466">
        <f>SUM(K25:K26,K29,K39:K40)</f>
        <v>139050440.44852</v>
      </c>
    </row>
    <row r="97" spans="2:18" ht="14.25" x14ac:dyDescent="0.2">
      <c r="R97" s="1451"/>
    </row>
    <row r="98" spans="2:18" ht="14.25" x14ac:dyDescent="0.2">
      <c r="B98" s="895">
        <v>2022</v>
      </c>
      <c r="C98" s="1791" t="s">
        <v>1004</v>
      </c>
      <c r="D98" s="1791"/>
      <c r="E98" s="1055">
        <v>50</v>
      </c>
    </row>
    <row r="99" spans="2:18" x14ac:dyDescent="0.25">
      <c r="C99" s="1791" t="s">
        <v>1007</v>
      </c>
      <c r="D99" s="1791"/>
      <c r="E99" s="1055">
        <v>20</v>
      </c>
    </row>
    <row r="100" spans="2:18" x14ac:dyDescent="0.25">
      <c r="C100" s="1791" t="s">
        <v>1005</v>
      </c>
      <c r="D100" s="1791"/>
      <c r="E100" s="1055">
        <f>E98-E99</f>
        <v>30</v>
      </c>
    </row>
    <row r="101" spans="2:18" x14ac:dyDescent="0.25">
      <c r="F101" s="1462"/>
    </row>
    <row r="102" spans="2:18" x14ac:dyDescent="0.25">
      <c r="C102" s="1791" t="s">
        <v>1011</v>
      </c>
      <c r="D102" s="1791"/>
      <c r="E102" s="1466">
        <v>16215001.369999999</v>
      </c>
      <c r="F102" s="1466">
        <f>(E98-E99)/E98*E96</f>
        <v>83430264.269112006</v>
      </c>
    </row>
    <row r="103" spans="2:18" x14ac:dyDescent="0.25">
      <c r="C103" s="1791" t="s">
        <v>1006</v>
      </c>
      <c r="D103" s="1791"/>
      <c r="E103" s="1466">
        <f>E102/26</f>
        <v>623653.89884615387</v>
      </c>
      <c r="F103" s="1466">
        <f>E103*30</f>
        <v>18709616.965384617</v>
      </c>
    </row>
    <row r="104" spans="2:18" x14ac:dyDescent="0.25">
      <c r="B104" s="895" t="s">
        <v>7</v>
      </c>
      <c r="F104" s="1462"/>
    </row>
    <row r="105" spans="2:18" x14ac:dyDescent="0.25">
      <c r="B105" s="895">
        <f>B98+E98</f>
        <v>2072</v>
      </c>
      <c r="C105" s="1791" t="s">
        <v>1008</v>
      </c>
      <c r="D105" s="1791"/>
      <c r="E105" s="1466">
        <f>(E100/E98)*E96-E103*E100</f>
        <v>64720647.303727388</v>
      </c>
    </row>
    <row r="106" spans="2:18" x14ac:dyDescent="0.25">
      <c r="B106" s="895">
        <f>B98+E98</f>
        <v>2072</v>
      </c>
      <c r="C106" s="1791" t="s">
        <v>1009</v>
      </c>
      <c r="D106" s="1791"/>
      <c r="E106" s="1466">
        <f>E105/((1+3%)^(B105-B96))</f>
        <v>12363979.28421665</v>
      </c>
    </row>
    <row r="107" spans="2:18" x14ac:dyDescent="0.25">
      <c r="B107" s="895">
        <f>B98+E98</f>
        <v>2072</v>
      </c>
      <c r="C107" s="1791" t="s">
        <v>1010</v>
      </c>
      <c r="D107" s="1791"/>
      <c r="E107" s="1466">
        <f>E105/((1+7%)^(B107-B96))</f>
        <v>1464034.4691587586</v>
      </c>
    </row>
  </sheetData>
  <mergeCells count="43">
    <mergeCell ref="Q47:Q50"/>
    <mergeCell ref="R47:R50"/>
    <mergeCell ref="B16:B17"/>
    <mergeCell ref="C16:C17"/>
    <mergeCell ref="D16:D17"/>
    <mergeCell ref="B60:B62"/>
    <mergeCell ref="C60:C62"/>
    <mergeCell ref="D60:D62"/>
    <mergeCell ref="B57:L58"/>
    <mergeCell ref="F60:F62"/>
    <mergeCell ref="E16:K16"/>
    <mergeCell ref="R60:S60"/>
    <mergeCell ref="N57:S58"/>
    <mergeCell ref="E49:F49"/>
    <mergeCell ref="F51:G51"/>
    <mergeCell ref="F52:G52"/>
    <mergeCell ref="N47:N50"/>
    <mergeCell ref="N60:N62"/>
    <mergeCell ref="O60:O62"/>
    <mergeCell ref="P60:P62"/>
    <mergeCell ref="Q60:Q62"/>
    <mergeCell ref="I60:J60"/>
    <mergeCell ref="K60:L60"/>
    <mergeCell ref="E60:E62"/>
    <mergeCell ref="G60:H60"/>
    <mergeCell ref="O47:O50"/>
    <mergeCell ref="P47:P50"/>
    <mergeCell ref="T16:T17"/>
    <mergeCell ref="U16:U17"/>
    <mergeCell ref="V15:X15"/>
    <mergeCell ref="V16:V17"/>
    <mergeCell ref="W16:W17"/>
    <mergeCell ref="X16:X17"/>
    <mergeCell ref="C103:D103"/>
    <mergeCell ref="C105:D105"/>
    <mergeCell ref="C106:D106"/>
    <mergeCell ref="C107:D107"/>
    <mergeCell ref="C95:D95"/>
    <mergeCell ref="C96:D96"/>
    <mergeCell ref="C102:D102"/>
    <mergeCell ref="C98:D98"/>
    <mergeCell ref="C99:D99"/>
    <mergeCell ref="C100:D100"/>
  </mergeCells>
  <pageMargins left="0.7" right="0.7" top="0.75" bottom="0.75" header="0.3" footer="0.3"/>
  <pageSetup scale="8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Z78"/>
  <sheetViews>
    <sheetView topLeftCell="A10" zoomScale="70" zoomScaleNormal="70" workbookViewId="0">
      <selection activeCell="E15" sqref="E15"/>
    </sheetView>
  </sheetViews>
  <sheetFormatPr defaultColWidth="9.109375" defaultRowHeight="13.2" x14ac:dyDescent="0.3"/>
  <cols>
    <col min="1" max="1" width="3.5546875" style="424" customWidth="1"/>
    <col min="2" max="2" width="48.109375" style="424" customWidth="1"/>
    <col min="3" max="3" width="19.44140625" style="424" customWidth="1"/>
    <col min="4" max="4" width="11.88671875" style="424" customWidth="1"/>
    <col min="5" max="6" width="12.88671875" style="424" customWidth="1"/>
    <col min="7" max="7" width="19.44140625" style="424" customWidth="1"/>
    <col min="8" max="8" width="17.109375" style="424" customWidth="1"/>
    <col min="9" max="9" width="14.33203125" style="424" customWidth="1"/>
    <col min="10" max="12" width="12.88671875" style="424" customWidth="1"/>
    <col min="13" max="13" width="17" style="424" bestFit="1" customWidth="1"/>
    <col min="14" max="14" width="14.109375" style="424" bestFit="1" customWidth="1"/>
    <col min="15" max="15" width="17" style="424" bestFit="1" customWidth="1"/>
    <col min="16" max="16" width="12.88671875" style="424" customWidth="1"/>
    <col min="17" max="19" width="14.109375" style="424" bestFit="1" customWidth="1"/>
    <col min="20" max="26" width="12.88671875" style="424" customWidth="1"/>
    <col min="27" max="27" width="13.109375" style="424" bestFit="1" customWidth="1"/>
    <col min="28" max="28" width="13.33203125" style="424" bestFit="1" customWidth="1"/>
    <col min="29" max="29" width="12.33203125" style="424" bestFit="1" customWidth="1"/>
    <col min="30" max="16384" width="9.109375" style="424"/>
  </cols>
  <sheetData>
    <row r="2" spans="2:26" ht="20.25" x14ac:dyDescent="0.25">
      <c r="B2" s="946" t="s">
        <v>713</v>
      </c>
    </row>
    <row r="3" spans="2:26" ht="20.25" x14ac:dyDescent="0.25">
      <c r="B3" s="946" t="s">
        <v>358</v>
      </c>
    </row>
    <row r="4" spans="2:26" ht="18" x14ac:dyDescent="0.25">
      <c r="B4" s="423"/>
    </row>
    <row r="5" spans="2:26" ht="57.75" customHeight="1" x14ac:dyDescent="0.25">
      <c r="B5" s="1019" t="s">
        <v>481</v>
      </c>
      <c r="C5" s="1020" t="s">
        <v>354</v>
      </c>
      <c r="D5" s="425" t="s">
        <v>576</v>
      </c>
      <c r="F5" s="1042"/>
      <c r="G5" s="1042"/>
      <c r="H5" s="1042"/>
      <c r="I5" s="601"/>
      <c r="J5" s="1829"/>
      <c r="K5" s="1829"/>
      <c r="L5" s="1829"/>
      <c r="M5" s="601"/>
    </row>
    <row r="6" spans="2:26" ht="15" customHeight="1" x14ac:dyDescent="0.25">
      <c r="B6" s="426" t="str">
        <f>Rates!B15</f>
        <v xml:space="preserve">- Auto, Urban </v>
      </c>
      <c r="C6" s="714" t="s">
        <v>483</v>
      </c>
      <c r="D6" s="1021">
        <f>Rates!E15</f>
        <v>1.3938493926341766E-3</v>
      </c>
      <c r="F6" s="1022"/>
      <c r="G6" s="1022"/>
      <c r="H6" s="1022"/>
      <c r="I6" s="601"/>
      <c r="J6" s="1022"/>
      <c r="K6" s="1022"/>
      <c r="L6" s="1022"/>
      <c r="M6" s="601"/>
    </row>
    <row r="7" spans="2:26" ht="15" customHeight="1" x14ac:dyDescent="0.25">
      <c r="B7" s="426" t="str">
        <f>Rates!B16</f>
        <v xml:space="preserve">- Truck, Urban </v>
      </c>
      <c r="C7" s="714" t="s">
        <v>482</v>
      </c>
      <c r="D7" s="1021">
        <f>Rates!E16</f>
        <v>0.25298366476310308</v>
      </c>
      <c r="F7" s="1022"/>
      <c r="G7" s="1022"/>
      <c r="H7" s="1022"/>
      <c r="I7" s="601"/>
      <c r="J7" s="1022"/>
      <c r="K7" s="1022"/>
      <c r="L7" s="1022"/>
      <c r="M7" s="601"/>
    </row>
    <row r="8" spans="2:26" ht="25.5" customHeight="1" x14ac:dyDescent="0.25">
      <c r="B8" s="1817" t="s">
        <v>292</v>
      </c>
      <c r="C8" s="1817"/>
      <c r="E8" s="1023"/>
      <c r="F8" s="1024"/>
      <c r="G8" s="1024"/>
      <c r="H8" s="1024"/>
      <c r="I8" s="601"/>
      <c r="J8" s="1025"/>
      <c r="K8" s="1025"/>
      <c r="L8" s="1025"/>
      <c r="M8" s="601"/>
    </row>
    <row r="9" spans="2:26" ht="25.5" customHeight="1" thickBot="1" x14ac:dyDescent="0.3">
      <c r="B9" s="1026"/>
      <c r="C9" s="1026"/>
      <c r="E9" s="1023"/>
      <c r="F9" s="1024"/>
      <c r="G9" s="1024"/>
      <c r="H9" s="1024"/>
      <c r="I9" s="601"/>
      <c r="J9" s="1025"/>
      <c r="K9" s="1025"/>
      <c r="L9" s="1025"/>
      <c r="M9" s="601"/>
    </row>
    <row r="10" spans="2:26" ht="18" customHeight="1" thickBot="1" x14ac:dyDescent="0.3">
      <c r="B10" s="954"/>
      <c r="C10" s="955"/>
      <c r="D10" s="955"/>
      <c r="E10" s="1818"/>
      <c r="F10" s="1819"/>
      <c r="G10" s="1819"/>
      <c r="H10" s="1819"/>
      <c r="I10" s="1819"/>
      <c r="J10" s="1819"/>
      <c r="K10" s="1819"/>
      <c r="L10" s="1819"/>
      <c r="M10" s="1819"/>
      <c r="N10" s="1819"/>
      <c r="O10" s="1819"/>
      <c r="P10" s="1819"/>
      <c r="Q10" s="1819"/>
      <c r="R10" s="1819"/>
      <c r="S10" s="1819"/>
      <c r="T10" s="1819"/>
      <c r="U10" s="1819"/>
      <c r="V10" s="1819"/>
      <c r="W10" s="1819"/>
      <c r="X10" s="1819"/>
      <c r="Y10" s="1820"/>
      <c r="Z10" s="688"/>
    </row>
    <row r="11" spans="2:26" ht="18" customHeight="1" thickBot="1" x14ac:dyDescent="0.3">
      <c r="B11" s="957"/>
      <c r="C11" s="958"/>
      <c r="D11" s="958"/>
      <c r="E11" s="712">
        <v>2023</v>
      </c>
      <c r="F11" s="417">
        <f>E11+1</f>
        <v>2024</v>
      </c>
      <c r="G11" s="417">
        <f t="shared" ref="G11:Y11" si="0">F11+1</f>
        <v>2025</v>
      </c>
      <c r="H11" s="417">
        <f t="shared" si="0"/>
        <v>2026</v>
      </c>
      <c r="I11" s="417">
        <f t="shared" si="0"/>
        <v>2027</v>
      </c>
      <c r="J11" s="417">
        <f t="shared" si="0"/>
        <v>2028</v>
      </c>
      <c r="K11" s="417">
        <f t="shared" si="0"/>
        <v>2029</v>
      </c>
      <c r="L11" s="417">
        <f t="shared" si="0"/>
        <v>2030</v>
      </c>
      <c r="M11" s="417">
        <f t="shared" si="0"/>
        <v>2031</v>
      </c>
      <c r="N11" s="417">
        <f t="shared" si="0"/>
        <v>2032</v>
      </c>
      <c r="O11" s="417">
        <f t="shared" si="0"/>
        <v>2033</v>
      </c>
      <c r="P11" s="417">
        <f t="shared" si="0"/>
        <v>2034</v>
      </c>
      <c r="Q11" s="417">
        <f t="shared" si="0"/>
        <v>2035</v>
      </c>
      <c r="R11" s="417">
        <f t="shared" si="0"/>
        <v>2036</v>
      </c>
      <c r="S11" s="417">
        <f t="shared" si="0"/>
        <v>2037</v>
      </c>
      <c r="T11" s="417">
        <f t="shared" si="0"/>
        <v>2038</v>
      </c>
      <c r="U11" s="417">
        <f t="shared" si="0"/>
        <v>2039</v>
      </c>
      <c r="V11" s="417">
        <f t="shared" si="0"/>
        <v>2040</v>
      </c>
      <c r="W11" s="417">
        <f t="shared" si="0"/>
        <v>2041</v>
      </c>
      <c r="X11" s="417">
        <f t="shared" si="0"/>
        <v>2042</v>
      </c>
      <c r="Y11" s="713">
        <f t="shared" si="0"/>
        <v>2043</v>
      </c>
      <c r="Z11" s="1023"/>
    </row>
    <row r="12" spans="2:26" s="1028" customFormat="1" ht="18" customHeight="1" x14ac:dyDescent="0.25">
      <c r="B12" s="1027" t="s">
        <v>573</v>
      </c>
      <c r="C12" s="601"/>
      <c r="D12" s="601"/>
      <c r="E12" s="1059"/>
      <c r="F12" s="1060"/>
      <c r="G12" s="1060"/>
      <c r="H12" s="1060"/>
      <c r="I12" s="1060"/>
      <c r="J12" s="1060"/>
      <c r="K12" s="1060"/>
      <c r="L12" s="1060"/>
      <c r="M12" s="1060"/>
      <c r="N12" s="1060"/>
      <c r="O12" s="1060"/>
      <c r="P12" s="1060"/>
      <c r="Q12" s="1060"/>
      <c r="R12" s="1060"/>
      <c r="S12" s="1060"/>
      <c r="T12" s="1060"/>
      <c r="U12" s="1060"/>
      <c r="V12" s="1060"/>
      <c r="W12" s="1060"/>
      <c r="X12" s="1060"/>
      <c r="Y12" s="1061"/>
      <c r="Z12" s="1023"/>
    </row>
    <row r="13" spans="2:26" s="1028" customFormat="1" ht="18" customHeight="1" x14ac:dyDescent="0.25">
      <c r="B13" s="969" t="s">
        <v>855</v>
      </c>
      <c r="C13" s="601"/>
      <c r="D13" s="601"/>
      <c r="E13" s="966">
        <f>'Build.vs.No-Build'!F4</f>
        <v>328208471.54129839</v>
      </c>
      <c r="F13" s="967">
        <f>'Build.vs.No-Build'!G4</f>
        <v>330966672.25379324</v>
      </c>
      <c r="G13" s="967">
        <f>'Build.vs.No-Build'!H4</f>
        <v>333748052.35326332</v>
      </c>
      <c r="H13" s="967">
        <f>'Build.vs.No-Build'!I4</f>
        <v>336552806.63480759</v>
      </c>
      <c r="I13" s="967">
        <f>'Build.vs.No-Build'!J4</f>
        <v>339381131.53054529</v>
      </c>
      <c r="J13" s="967">
        <f>'Build.vs.No-Build'!K4</f>
        <v>342233225.12337345</v>
      </c>
      <c r="K13" s="967">
        <f>'Build.vs.No-Build'!L4</f>
        <v>345109287.16083956</v>
      </c>
      <c r="L13" s="967">
        <f>'Build.vs.No-Build'!M4</f>
        <v>348009519.06913096</v>
      </c>
      <c r="M13" s="967">
        <f>'Build.vs.No-Build'!N4</f>
        <v>350934123.96718186</v>
      </c>
      <c r="N13" s="967">
        <f>'Build.vs.No-Build'!O4</f>
        <v>353883306.68089879</v>
      </c>
      <c r="O13" s="967">
        <f>'Build.vs.No-Build'!P4</f>
        <v>356857273.75750566</v>
      </c>
      <c r="P13" s="967">
        <f>'Build.vs.No-Build'!Q4</f>
        <v>359856233.48000956</v>
      </c>
      <c r="Q13" s="967">
        <f>'Build.vs.No-Build'!R4</f>
        <v>362880395.88178772</v>
      </c>
      <c r="R13" s="967">
        <f>'Build.vs.No-Build'!S4</f>
        <v>365929972.76129746</v>
      </c>
      <c r="S13" s="967">
        <f>'Build.vs.No-Build'!T4</f>
        <v>369005177.69690943</v>
      </c>
      <c r="T13" s="967">
        <f>'Build.vs.No-Build'!U4</f>
        <v>372106226.06186557</v>
      </c>
      <c r="U13" s="967">
        <f>'Build.vs.No-Build'!V4</f>
        <v>375233335.03936327</v>
      </c>
      <c r="V13" s="967">
        <f>'Build.vs.No-Build'!W4</f>
        <v>378386723.63776565</v>
      </c>
      <c r="W13" s="967">
        <f>'Build.vs.No-Build'!X4</f>
        <v>381566612.70593965</v>
      </c>
      <c r="X13" s="967">
        <f>'Build.vs.No-Build'!Y4</f>
        <v>384773224.94872373</v>
      </c>
      <c r="Y13" s="968">
        <f>'Build.vs.No-Build'!Z4</f>
        <v>388006784.94252479</v>
      </c>
      <c r="Z13" s="1023"/>
    </row>
    <row r="14" spans="2:26" s="1028" customFormat="1" ht="18" customHeight="1" x14ac:dyDescent="0.25">
      <c r="B14" s="969" t="s">
        <v>856</v>
      </c>
      <c r="C14" s="601"/>
      <c r="D14" s="601"/>
      <c r="E14" s="966">
        <f>'Build.vs.No-Build'!F37</f>
        <v>379448813.98219019</v>
      </c>
      <c r="F14" s="967">
        <f>'Build.vs.No-Build'!G37</f>
        <v>383417061.16706127</v>
      </c>
      <c r="G14" s="967">
        <f>'Build.vs.No-Build'!H37</f>
        <v>387426807.98281795</v>
      </c>
      <c r="H14" s="967">
        <f>'Build.vs.No-Build'!I37</f>
        <v>391478488.42948186</v>
      </c>
      <c r="I14" s="967">
        <f>'Build.vs.No-Build'!J37</f>
        <v>395572541.04581386</v>
      </c>
      <c r="J14" s="967">
        <f>'Build.vs.No-Build'!K37</f>
        <v>399709408.95678085</v>
      </c>
      <c r="K14" s="967">
        <f>'Build.vs.No-Build'!L37</f>
        <v>403889539.9215166</v>
      </c>
      <c r="L14" s="967">
        <f>'Build.vs.No-Build'!M37</f>
        <v>408113386.38178694</v>
      </c>
      <c r="M14" s="967">
        <f>'Build.vs.No-Build'!N37</f>
        <v>412381405.51095927</v>
      </c>
      <c r="N14" s="967">
        <f>'Build.vs.No-Build'!O37</f>
        <v>416694059.26348585</v>
      </c>
      <c r="O14" s="967">
        <f>'Build.vs.No-Build'!P37</f>
        <v>421051814.42490387</v>
      </c>
      <c r="P14" s="967">
        <f>'Build.vs.No-Build'!Q37</f>
        <v>425455142.66235864</v>
      </c>
      <c r="Q14" s="967">
        <f>'Build.vs.No-Build'!R37</f>
        <v>429904520.57565498</v>
      </c>
      <c r="R14" s="967">
        <f>'Build.vs.No-Build'!S37</f>
        <v>434400429.74884272</v>
      </c>
      <c r="S14" s="967">
        <f>'Build.vs.No-Build'!T37</f>
        <v>438943356.80234122</v>
      </c>
      <c r="T14" s="967">
        <f>'Build.vs.No-Build'!U37</f>
        <v>443533793.44561011</v>
      </c>
      <c r="U14" s="967">
        <f>'Build.vs.No-Build'!V37</f>
        <v>448172236.53036928</v>
      </c>
      <c r="V14" s="967">
        <f>'Build.vs.No-Build'!W37</f>
        <v>452859188.10437661</v>
      </c>
      <c r="W14" s="967">
        <f>'Build.vs.No-Build'!X37</f>
        <v>457595155.46576762</v>
      </c>
      <c r="X14" s="967">
        <f>'Build.vs.No-Build'!Y37</f>
        <v>462380651.21796399</v>
      </c>
      <c r="Y14" s="968">
        <f>'Build.vs.No-Build'!Z37</f>
        <v>467216193.32515496</v>
      </c>
      <c r="Z14" s="1023"/>
    </row>
    <row r="15" spans="2:26" ht="18" customHeight="1" x14ac:dyDescent="0.25">
      <c r="B15" s="969" t="s">
        <v>291</v>
      </c>
      <c r="C15" s="965" t="s">
        <v>343</v>
      </c>
      <c r="D15" s="958"/>
      <c r="E15" s="966">
        <f t="shared" ref="E15:Y15" si="1">E14-E13</f>
        <v>51240342.440891802</v>
      </c>
      <c r="F15" s="967">
        <f t="shared" si="1"/>
        <v>52450388.91326803</v>
      </c>
      <c r="G15" s="967">
        <f t="shared" si="1"/>
        <v>53678755.629554629</v>
      </c>
      <c r="H15" s="967">
        <f t="shared" si="1"/>
        <v>54925681.794674277</v>
      </c>
      <c r="I15" s="967">
        <f t="shared" si="1"/>
        <v>56191409.515268564</v>
      </c>
      <c r="J15" s="967">
        <f t="shared" si="1"/>
        <v>57476183.833407402</v>
      </c>
      <c r="K15" s="967">
        <f t="shared" si="1"/>
        <v>58780252.76067704</v>
      </c>
      <c r="L15" s="967">
        <f t="shared" si="1"/>
        <v>60103867.312655985</v>
      </c>
      <c r="M15" s="967">
        <f t="shared" si="1"/>
        <v>61447281.543777406</v>
      </c>
      <c r="N15" s="967">
        <f t="shared" si="1"/>
        <v>62810752.582587063</v>
      </c>
      <c r="O15" s="967">
        <f t="shared" si="1"/>
        <v>64194540.667398214</v>
      </c>
      <c r="P15" s="967">
        <f t="shared" si="1"/>
        <v>65598909.182349086</v>
      </c>
      <c r="Q15" s="967">
        <f t="shared" si="1"/>
        <v>67024124.693867266</v>
      </c>
      <c r="R15" s="967">
        <f t="shared" si="1"/>
        <v>68470456.987545252</v>
      </c>
      <c r="S15" s="967">
        <f t="shared" si="1"/>
        <v>69938179.105431795</v>
      </c>
      <c r="T15" s="967">
        <f t="shared" si="1"/>
        <v>71427567.383744538</v>
      </c>
      <c r="U15" s="967">
        <f t="shared" si="1"/>
        <v>72938901.491006017</v>
      </c>
      <c r="V15" s="967">
        <f t="shared" si="1"/>
        <v>74472464.466610968</v>
      </c>
      <c r="W15" s="967">
        <f t="shared" si="1"/>
        <v>76028542.759827971</v>
      </c>
      <c r="X15" s="967">
        <f t="shared" si="1"/>
        <v>77607426.26924026</v>
      </c>
      <c r="Y15" s="968">
        <f t="shared" si="1"/>
        <v>79209408.382630169</v>
      </c>
      <c r="Z15" s="967"/>
    </row>
    <row r="16" spans="2:26" ht="18" customHeight="1" x14ac:dyDescent="0.25">
      <c r="B16" s="969" t="s">
        <v>577</v>
      </c>
      <c r="C16" s="965" t="s">
        <v>344</v>
      </c>
      <c r="D16" s="958"/>
      <c r="E16" s="966">
        <f t="shared" ref="E16:Y16" si="2">E15*$D$6</f>
        <v>71421.320189604259</v>
      </c>
      <c r="F16" s="967">
        <f t="shared" si="2"/>
        <v>73107.942730184994</v>
      </c>
      <c r="G16" s="967">
        <f t="shared" si="2"/>
        <v>74820.100931613109</v>
      </c>
      <c r="H16" s="967">
        <f t="shared" si="2"/>
        <v>76558.128209524788</v>
      </c>
      <c r="I16" s="967">
        <f t="shared" si="2"/>
        <v>78322.362024115384</v>
      </c>
      <c r="J16" s="967">
        <f t="shared" si="2"/>
        <v>80113.143927125187</v>
      </c>
      <c r="K16" s="967">
        <f t="shared" si="2"/>
        <v>81930.819609353071</v>
      </c>
      <c r="L16" s="967">
        <f t="shared" si="2"/>
        <v>83775.738948710685</v>
      </c>
      <c r="M16" s="967">
        <f t="shared" si="2"/>
        <v>85648.256058815386</v>
      </c>
      <c r="N16" s="967">
        <f t="shared" si="2"/>
        <v>87548.729338134523</v>
      </c>
      <c r="O16" s="967">
        <f t="shared" si="2"/>
        <v>89477.521519682952</v>
      </c>
      <c r="P16" s="967">
        <f t="shared" si="2"/>
        <v>91434.999721281783</v>
      </c>
      <c r="Q16" s="967">
        <f t="shared" si="2"/>
        <v>93421.535496384211</v>
      </c>
      <c r="R16" s="967">
        <f t="shared" si="2"/>
        <v>95437.504885474467</v>
      </c>
      <c r="S16" s="967">
        <f t="shared" si="2"/>
        <v>97483.288468046376</v>
      </c>
      <c r="T16" s="967">
        <f t="shared" si="2"/>
        <v>99559.271415169045</v>
      </c>
      <c r="U16" s="967">
        <f t="shared" si="2"/>
        <v>101665.84354264277</v>
      </c>
      <c r="V16" s="967">
        <f t="shared" si="2"/>
        <v>103803.399364756</v>
      </c>
      <c r="W16" s="967">
        <f t="shared" si="2"/>
        <v>105972.33814864774</v>
      </c>
      <c r="X16" s="967">
        <f t="shared" si="2"/>
        <v>108173.06396928219</v>
      </c>
      <c r="Y16" s="968">
        <f t="shared" si="2"/>
        <v>110405.98576504152</v>
      </c>
      <c r="Z16" s="967"/>
    </row>
    <row r="17" spans="2:26" ht="18" customHeight="1" x14ac:dyDescent="0.25">
      <c r="B17" s="969"/>
      <c r="C17" s="965"/>
      <c r="D17" s="958"/>
      <c r="E17" s="966"/>
      <c r="F17" s="967"/>
      <c r="G17" s="967"/>
      <c r="H17" s="967"/>
      <c r="I17" s="967"/>
      <c r="J17" s="967"/>
      <c r="K17" s="967"/>
      <c r="L17" s="967"/>
      <c r="M17" s="967"/>
      <c r="N17" s="967"/>
      <c r="O17" s="967"/>
      <c r="P17" s="967"/>
      <c r="Q17" s="967"/>
      <c r="R17" s="967"/>
      <c r="S17" s="967"/>
      <c r="T17" s="967"/>
      <c r="U17" s="967"/>
      <c r="V17" s="967"/>
      <c r="W17" s="967"/>
      <c r="X17" s="967"/>
      <c r="Y17" s="968"/>
      <c r="Z17" s="1029"/>
    </row>
    <row r="18" spans="2:26" ht="18" customHeight="1" x14ac:dyDescent="0.25">
      <c r="B18" s="1027" t="s">
        <v>574</v>
      </c>
      <c r="C18" s="965"/>
      <c r="D18" s="958"/>
      <c r="E18" s="966"/>
      <c r="F18" s="967"/>
      <c r="G18" s="967"/>
      <c r="H18" s="967"/>
      <c r="I18" s="967"/>
      <c r="J18" s="967"/>
      <c r="K18" s="967"/>
      <c r="L18" s="967"/>
      <c r="M18" s="967"/>
      <c r="N18" s="967"/>
      <c r="O18" s="967"/>
      <c r="P18" s="967"/>
      <c r="Q18" s="967"/>
      <c r="R18" s="967"/>
      <c r="S18" s="967"/>
      <c r="T18" s="967"/>
      <c r="U18" s="967"/>
      <c r="V18" s="967"/>
      <c r="W18" s="967"/>
      <c r="X18" s="967"/>
      <c r="Y18" s="968"/>
      <c r="Z18" s="1029"/>
    </row>
    <row r="19" spans="2:26" ht="18" customHeight="1" x14ac:dyDescent="0.25">
      <c r="B19" s="969" t="s">
        <v>855</v>
      </c>
      <c r="C19" s="965"/>
      <c r="D19" s="958"/>
      <c r="E19" s="966">
        <f>'Build.vs.No-Build'!F5</f>
        <v>177812159.16264874</v>
      </c>
      <c r="F19" s="967">
        <f>'Build.vs.No-Build'!G5</f>
        <v>177951687.01386541</v>
      </c>
      <c r="G19" s="967">
        <f>'Build.vs.No-Build'!H5</f>
        <v>178091324.35152757</v>
      </c>
      <c r="H19" s="967">
        <f>'Build.vs.No-Build'!I5</f>
        <v>178231071.26154837</v>
      </c>
      <c r="I19" s="967">
        <f>'Build.vs.No-Build'!J5</f>
        <v>178370927.82990837</v>
      </c>
      <c r="J19" s="967">
        <f>'Build.vs.No-Build'!K5</f>
        <v>178510894.1426557</v>
      </c>
      <c r="K19" s="967">
        <f>'Build.vs.No-Build'!L5</f>
        <v>178650970.28590593</v>
      </c>
      <c r="L19" s="967">
        <f>'Build.vs.No-Build'!M5</f>
        <v>178791156.34584215</v>
      </c>
      <c r="M19" s="967">
        <f>'Build.vs.No-Build'!N5</f>
        <v>178931452.40871525</v>
      </c>
      <c r="N19" s="967">
        <f>'Build.vs.No-Build'!O5</f>
        <v>179071858.56084365</v>
      </c>
      <c r="O19" s="967">
        <f>'Build.vs.No-Build'!P5</f>
        <v>179212374.88861361</v>
      </c>
      <c r="P19" s="967">
        <f>'Build.vs.No-Build'!Q5</f>
        <v>179353001.47847897</v>
      </c>
      <c r="Q19" s="967">
        <f>'Build.vs.No-Build'!R5</f>
        <v>179493738.4169617</v>
      </c>
      <c r="R19" s="967">
        <f>'Build.vs.No-Build'!S5</f>
        <v>179634585.79065153</v>
      </c>
      <c r="S19" s="967">
        <f>'Build.vs.No-Build'!T5</f>
        <v>179775543.68620604</v>
      </c>
      <c r="T19" s="967">
        <f>'Build.vs.No-Build'!U5</f>
        <v>179916612.19035089</v>
      </c>
      <c r="U19" s="967">
        <f>'Build.vs.No-Build'!V5</f>
        <v>180057791.38987991</v>
      </c>
      <c r="V19" s="967">
        <f>'Build.vs.No-Build'!W5</f>
        <v>180199081.37165487</v>
      </c>
      <c r="W19" s="967">
        <f>'Build.vs.No-Build'!X5</f>
        <v>180340482.22260574</v>
      </c>
      <c r="X19" s="967">
        <f>'Build.vs.No-Build'!Y5</f>
        <v>180481994.02973074</v>
      </c>
      <c r="Y19" s="968">
        <f>'Build.vs.No-Build'!Z5</f>
        <v>180623616.88009629</v>
      </c>
      <c r="Z19" s="1029"/>
    </row>
    <row r="20" spans="2:26" ht="18" customHeight="1" x14ac:dyDescent="0.25">
      <c r="B20" s="969" t="s">
        <v>856</v>
      </c>
      <c r="C20" s="965"/>
      <c r="D20" s="958"/>
      <c r="E20" s="966">
        <f>'Build.vs.No-Build'!F38</f>
        <v>205981376.3284108</v>
      </c>
      <c r="F20" s="967">
        <f>'Build.vs.No-Build'!G38</f>
        <v>206544196.519658</v>
      </c>
      <c r="G20" s="967">
        <f>'Build.vs.No-Build'!H38</f>
        <v>207108554.55172035</v>
      </c>
      <c r="H20" s="967">
        <f>'Build.vs.No-Build'!I38</f>
        <v>207674454.62656927</v>
      </c>
      <c r="I20" s="967">
        <f>'Build.vs.No-Build'!J38</f>
        <v>208241900.95765764</v>
      </c>
      <c r="J20" s="967">
        <f>'Build.vs.No-Build'!K38</f>
        <v>208810897.76995102</v>
      </c>
      <c r="K20" s="967">
        <f>'Build.vs.No-Build'!L38</f>
        <v>209381449.2999593</v>
      </c>
      <c r="L20" s="967">
        <f>'Build.vs.No-Build'!M38</f>
        <v>209953559.79576808</v>
      </c>
      <c r="M20" s="967">
        <f>'Build.vs.No-Build'!N38</f>
        <v>210527233.51707035</v>
      </c>
      <c r="N20" s="967">
        <f>'Build.vs.No-Build'!O38</f>
        <v>211102474.73519826</v>
      </c>
      <c r="O20" s="967">
        <f>'Build.vs.No-Build'!P38</f>
        <v>211679287.73315492</v>
      </c>
      <c r="P20" s="967">
        <f>'Build.vs.No-Build'!Q38</f>
        <v>212257676.80564606</v>
      </c>
      <c r="Q20" s="967">
        <f>'Build.vs.No-Build'!R38</f>
        <v>212837646.25911251</v>
      </c>
      <c r="R20" s="967">
        <f>'Build.vs.No-Build'!S38</f>
        <v>213419200.41176152</v>
      </c>
      <c r="S20" s="967">
        <f>'Build.vs.No-Build'!T38</f>
        <v>214002343.59359983</v>
      </c>
      <c r="T20" s="967">
        <f>'Build.vs.No-Build'!U38</f>
        <v>214587080.14646497</v>
      </c>
      <c r="U20" s="967">
        <f>'Build.vs.No-Build'!V38</f>
        <v>215173414.42405835</v>
      </c>
      <c r="V20" s="967">
        <f>'Build.vs.No-Build'!W38</f>
        <v>215761350.79197726</v>
      </c>
      <c r="W20" s="967">
        <f>'Build.vs.No-Build'!X38</f>
        <v>216350893.62774748</v>
      </c>
      <c r="X20" s="967">
        <f>'Build.vs.No-Build'!Y38</f>
        <v>216942047.32085577</v>
      </c>
      <c r="Y20" s="968">
        <f>'Build.vs.No-Build'!Z38</f>
        <v>217534816.27278283</v>
      </c>
      <c r="Z20" s="1029"/>
    </row>
    <row r="21" spans="2:26" ht="18" customHeight="1" x14ac:dyDescent="0.25">
      <c r="B21" s="969" t="s">
        <v>291</v>
      </c>
      <c r="C21" s="965" t="s">
        <v>471</v>
      </c>
      <c r="D21" s="958"/>
      <c r="E21" s="966">
        <f>E20-E19</f>
        <v>28169217.165762067</v>
      </c>
      <c r="F21" s="967">
        <f t="shared" ref="F21:Y21" si="3">F20-F19</f>
        <v>28592509.505792588</v>
      </c>
      <c r="G21" s="967">
        <f t="shared" si="3"/>
        <v>29017230.200192779</v>
      </c>
      <c r="H21" s="967">
        <f t="shared" si="3"/>
        <v>29443383.365020901</v>
      </c>
      <c r="I21" s="967">
        <f t="shared" si="3"/>
        <v>29870973.127749264</v>
      </c>
      <c r="J21" s="967">
        <f t="shared" si="3"/>
        <v>30300003.627295315</v>
      </c>
      <c r="K21" s="967">
        <f t="shared" si="3"/>
        <v>30730479.014053375</v>
      </c>
      <c r="L21" s="967">
        <f t="shared" si="3"/>
        <v>31162403.449925929</v>
      </c>
      <c r="M21" s="967">
        <f t="shared" si="3"/>
        <v>31595781.108355105</v>
      </c>
      <c r="N21" s="967">
        <f t="shared" si="3"/>
        <v>32030616.174354613</v>
      </c>
      <c r="O21" s="967">
        <f t="shared" si="3"/>
        <v>32466912.844541311</v>
      </c>
      <c r="P21" s="967">
        <f t="shared" si="3"/>
        <v>32904675.327167094</v>
      </c>
      <c r="Q21" s="967">
        <f t="shared" si="3"/>
        <v>33343907.842150807</v>
      </c>
      <c r="R21" s="967">
        <f t="shared" si="3"/>
        <v>33784614.621109992</v>
      </c>
      <c r="S21" s="967">
        <f t="shared" si="3"/>
        <v>34226799.907393783</v>
      </c>
      <c r="T21" s="967">
        <f t="shared" si="3"/>
        <v>34670467.956114084</v>
      </c>
      <c r="U21" s="967">
        <f t="shared" si="3"/>
        <v>35115623.034178436</v>
      </c>
      <c r="V21" s="967">
        <f t="shared" si="3"/>
        <v>35562269.420322388</v>
      </c>
      <c r="W21" s="967">
        <f t="shared" si="3"/>
        <v>36010411.405141741</v>
      </c>
      <c r="X21" s="967">
        <f t="shared" si="3"/>
        <v>36460053.291125029</v>
      </c>
      <c r="Y21" s="968">
        <f t="shared" si="3"/>
        <v>36911199.392686546</v>
      </c>
      <c r="Z21" s="967"/>
    </row>
    <row r="22" spans="2:26" ht="18" customHeight="1" x14ac:dyDescent="0.25">
      <c r="B22" s="969" t="s">
        <v>577</v>
      </c>
      <c r="C22" s="965" t="s">
        <v>345</v>
      </c>
      <c r="D22" s="958"/>
      <c r="E22" s="966">
        <f t="shared" ref="E22:Y22" si="4">E21*$D$6</f>
        <v>39263.646237477682</v>
      </c>
      <c r="F22" s="967">
        <f t="shared" si="4"/>
        <v>39853.652008535923</v>
      </c>
      <c r="G22" s="967">
        <f t="shared" si="4"/>
        <v>40445.64869046479</v>
      </c>
      <c r="H22" s="967">
        <f t="shared" si="4"/>
        <v>41039.642020429601</v>
      </c>
      <c r="I22" s="967">
        <f t="shared" si="4"/>
        <v>41635.637751505121</v>
      </c>
      <c r="J22" s="967">
        <f t="shared" si="4"/>
        <v>42233.641652718921</v>
      </c>
      <c r="K22" s="967">
        <f t="shared" si="4"/>
        <v>42833.659509095611</v>
      </c>
      <c r="L22" s="967">
        <f t="shared" si="4"/>
        <v>43435.697121700425</v>
      </c>
      <c r="M22" s="967">
        <f t="shared" si="4"/>
        <v>44039.760307683158</v>
      </c>
      <c r="N22" s="967">
        <f t="shared" si="4"/>
        <v>44645.854900322614</v>
      </c>
      <c r="O22" s="967">
        <f t="shared" si="4"/>
        <v>45253.986749070653</v>
      </c>
      <c r="P22" s="967">
        <f t="shared" si="4"/>
        <v>45864.161719596632</v>
      </c>
      <c r="Q22" s="967">
        <f t="shared" si="4"/>
        <v>46476.385693831864</v>
      </c>
      <c r="R22" s="967">
        <f t="shared" si="4"/>
        <v>47090.664570013883</v>
      </c>
      <c r="S22" s="967">
        <f t="shared" si="4"/>
        <v>47707.00426273232</v>
      </c>
      <c r="T22" s="967">
        <f t="shared" si="4"/>
        <v>48325.410702972302</v>
      </c>
      <c r="U22" s="967">
        <f t="shared" si="4"/>
        <v>48945.889838160314</v>
      </c>
      <c r="V22" s="967">
        <f t="shared" si="4"/>
        <v>49568.447632209318</v>
      </c>
      <c r="W22" s="967">
        <f t="shared" si="4"/>
        <v>50193.090065563643</v>
      </c>
      <c r="X22" s="967">
        <f t="shared" si="4"/>
        <v>50819.823135244333</v>
      </c>
      <c r="Y22" s="968">
        <f t="shared" si="4"/>
        <v>51448.652854895132</v>
      </c>
      <c r="Z22" s="967"/>
    </row>
    <row r="23" spans="2:26" ht="18" customHeight="1" x14ac:dyDescent="0.25">
      <c r="B23" s="969"/>
      <c r="C23" s="965"/>
      <c r="D23" s="958"/>
      <c r="E23" s="966"/>
      <c r="F23" s="967"/>
      <c r="G23" s="967"/>
      <c r="H23" s="967"/>
      <c r="I23" s="967"/>
      <c r="J23" s="967"/>
      <c r="K23" s="967"/>
      <c r="L23" s="967"/>
      <c r="M23" s="967"/>
      <c r="N23" s="967"/>
      <c r="O23" s="967"/>
      <c r="P23" s="967"/>
      <c r="Q23" s="967"/>
      <c r="R23" s="967"/>
      <c r="S23" s="967"/>
      <c r="T23" s="967"/>
      <c r="U23" s="967"/>
      <c r="V23" s="967"/>
      <c r="W23" s="967"/>
      <c r="X23" s="967"/>
      <c r="Y23" s="968"/>
      <c r="Z23" s="1029"/>
    </row>
    <row r="24" spans="2:26" ht="18" customHeight="1" x14ac:dyDescent="0.25">
      <c r="B24" s="1027" t="s">
        <v>575</v>
      </c>
      <c r="C24" s="965"/>
      <c r="D24" s="958"/>
      <c r="E24" s="966"/>
      <c r="F24" s="967"/>
      <c r="G24" s="967"/>
      <c r="H24" s="967"/>
      <c r="I24" s="967"/>
      <c r="J24" s="967"/>
      <c r="K24" s="967"/>
      <c r="L24" s="967"/>
      <c r="M24" s="967"/>
      <c r="N24" s="967"/>
      <c r="O24" s="967"/>
      <c r="P24" s="967"/>
      <c r="Q24" s="967"/>
      <c r="R24" s="967"/>
      <c r="S24" s="967"/>
      <c r="T24" s="967"/>
      <c r="U24" s="967"/>
      <c r="V24" s="967"/>
      <c r="W24" s="967"/>
      <c r="X24" s="967"/>
      <c r="Y24" s="968"/>
      <c r="Z24" s="1029"/>
    </row>
    <row r="25" spans="2:26" ht="18" customHeight="1" x14ac:dyDescent="0.25">
      <c r="B25" s="969" t="s">
        <v>855</v>
      </c>
      <c r="C25" s="965"/>
      <c r="D25" s="958"/>
      <c r="E25" s="966">
        <f>'Build.vs.No-Build'!F6</f>
        <v>108020089.30769104</v>
      </c>
      <c r="F25" s="967">
        <f>'Build.vs.No-Build'!G6</f>
        <v>108917038.63514632</v>
      </c>
      <c r="G25" s="967">
        <f>'Build.vs.No-Build'!H6</f>
        <v>109821435.81883998</v>
      </c>
      <c r="H25" s="967">
        <f>'Build.vs.No-Build'!I6</f>
        <v>110733342.70235769</v>
      </c>
      <c r="I25" s="967">
        <f>'Build.vs.No-Build'!J6</f>
        <v>111652821.6428059</v>
      </c>
      <c r="J25" s="967">
        <f>'Build.vs.No-Build'!K6</f>
        <v>112579935.51507585</v>
      </c>
      <c r="K25" s="967">
        <f>'Build.vs.No-Build'!L6</f>
        <v>113514747.7161431</v>
      </c>
      <c r="L25" s="967">
        <f>'Build.vs.No-Build'!M6</f>
        <v>114457322.1694027</v>
      </c>
      <c r="M25" s="967">
        <f>'Build.vs.No-Build'!N6</f>
        <v>115407723.32904024</v>
      </c>
      <c r="N25" s="967">
        <f>'Build.vs.No-Build'!O6</f>
        <v>116366016.18443927</v>
      </c>
      <c r="O25" s="967">
        <f>'Build.vs.No-Build'!P6</f>
        <v>117332266.26462553</v>
      </c>
      <c r="P25" s="967">
        <f>'Build.vs.No-Build'!Q6</f>
        <v>118306539.64274769</v>
      </c>
      <c r="Q25" s="967">
        <f>'Build.vs.No-Build'!R6</f>
        <v>119288902.94059554</v>
      </c>
      <c r="R25" s="967">
        <f>'Build.vs.No-Build'!S6</f>
        <v>120279423.33315578</v>
      </c>
      <c r="S25" s="967">
        <f>'Build.vs.No-Build'!T6</f>
        <v>121278168.55320533</v>
      </c>
      <c r="T25" s="967">
        <f>'Build.vs.No-Build'!U6</f>
        <v>122285206.89594311</v>
      </c>
      <c r="U25" s="967">
        <f>'Build.vs.No-Build'!V6</f>
        <v>123300607.22366008</v>
      </c>
      <c r="V25" s="967">
        <f>'Build.vs.No-Build'!W6</f>
        <v>124324438.97044809</v>
      </c>
      <c r="W25" s="967">
        <f>'Build.vs.No-Build'!X6</f>
        <v>125356772.14694786</v>
      </c>
      <c r="X25" s="967">
        <f>'Build.vs.No-Build'!Y6</f>
        <v>126397677.34513642</v>
      </c>
      <c r="Y25" s="968">
        <f>'Build.vs.No-Build'!Z6</f>
        <v>127447225.74315426</v>
      </c>
      <c r="Z25" s="1029"/>
    </row>
    <row r="26" spans="2:26" ht="18" customHeight="1" x14ac:dyDescent="0.25">
      <c r="B26" s="969" t="s">
        <v>856</v>
      </c>
      <c r="C26" s="965"/>
      <c r="D26" s="958"/>
      <c r="E26" s="966">
        <f>'Build.vs.No-Build'!F39</f>
        <v>124894315.15420036</v>
      </c>
      <c r="F26" s="967">
        <f>'Build.vs.No-Build'!G39</f>
        <v>126188184.48332641</v>
      </c>
      <c r="G26" s="967">
        <f>'Build.vs.No-Build'!H39</f>
        <v>127495457.9280744</v>
      </c>
      <c r="H26" s="967">
        <f>'Build.vs.No-Build'!I39</f>
        <v>128816274.35124263</v>
      </c>
      <c r="I26" s="967">
        <f>'Build.vs.No-Build'!J39</f>
        <v>130150774.05420808</v>
      </c>
      <c r="J26" s="967">
        <f>'Build.vs.No-Build'!K39</f>
        <v>131499098.79182999</v>
      </c>
      <c r="K26" s="967">
        <f>'Build.vs.No-Build'!L39</f>
        <v>132861391.78750716</v>
      </c>
      <c r="L26" s="967">
        <f>'Build.vs.No-Build'!M39</f>
        <v>134237797.74839184</v>
      </c>
      <c r="M26" s="967">
        <f>'Build.vs.No-Build'!N39</f>
        <v>135628462.88076097</v>
      </c>
      <c r="N26" s="967">
        <f>'Build.vs.No-Build'!O39</f>
        <v>137033534.90554661</v>
      </c>
      <c r="O26" s="967">
        <f>'Build.vs.No-Build'!P39</f>
        <v>138453163.0740273</v>
      </c>
      <c r="P26" s="967">
        <f>'Build.vs.No-Build'!Q39</f>
        <v>139887498.18368214</v>
      </c>
      <c r="Q26" s="967">
        <f>'Build.vs.No-Build'!R39</f>
        <v>141336692.59420896</v>
      </c>
      <c r="R26" s="967">
        <f>'Build.vs.No-Build'!S39</f>
        <v>142800900.24370831</v>
      </c>
      <c r="S26" s="967">
        <f>'Build.vs.No-Build'!T39</f>
        <v>144280276.66503546</v>
      </c>
      <c r="T26" s="967">
        <f>'Build.vs.No-Build'!U39</f>
        <v>145774979.00232136</v>
      </c>
      <c r="U26" s="967">
        <f>'Build.vs.No-Build'!V39</f>
        <v>147285166.02766532</v>
      </c>
      <c r="V26" s="967">
        <f>'Build.vs.No-Build'!W39</f>
        <v>148810998.15800005</v>
      </c>
      <c r="W26" s="967">
        <f>'Build.vs.No-Build'!X39</f>
        <v>150352637.47213176</v>
      </c>
      <c r="X26" s="967">
        <f>'Build.vs.No-Build'!Y39</f>
        <v>151910247.72795659</v>
      </c>
      <c r="Y26" s="968">
        <f>'Build.vs.No-Build'!Z39</f>
        <v>153483994.37985557</v>
      </c>
      <c r="Z26" s="1029"/>
    </row>
    <row r="27" spans="2:26" ht="18" customHeight="1" x14ac:dyDescent="0.3">
      <c r="B27" s="969" t="s">
        <v>291</v>
      </c>
      <c r="C27" s="965" t="s">
        <v>472</v>
      </c>
      <c r="D27" s="958"/>
      <c r="E27" s="966">
        <f>E26-E25</f>
        <v>16874225.846509323</v>
      </c>
      <c r="F27" s="967">
        <f t="shared" ref="F27:Y27" si="5">F26-F25</f>
        <v>17271145.848180085</v>
      </c>
      <c r="G27" s="967">
        <f t="shared" si="5"/>
        <v>17674022.109234422</v>
      </c>
      <c r="H27" s="967">
        <f t="shared" si="5"/>
        <v>18082931.648884937</v>
      </c>
      <c r="I27" s="967">
        <f t="shared" si="5"/>
        <v>18497952.411402181</v>
      </c>
      <c r="J27" s="967">
        <f t="shared" si="5"/>
        <v>18919163.276754141</v>
      </c>
      <c r="K27" s="967">
        <f t="shared" si="5"/>
        <v>19346644.07136406</v>
      </c>
      <c r="L27" s="967">
        <f t="shared" si="5"/>
        <v>19780475.578989133</v>
      </c>
      <c r="M27" s="967">
        <f t="shared" si="5"/>
        <v>20220739.551720724</v>
      </c>
      <c r="N27" s="967">
        <f t="shared" si="5"/>
        <v>20667518.721107334</v>
      </c>
      <c r="O27" s="967">
        <f t="shared" si="5"/>
        <v>21120896.809401765</v>
      </c>
      <c r="P27" s="967">
        <f t="shared" si="5"/>
        <v>21580958.540934458</v>
      </c>
      <c r="Q27" s="967">
        <f t="shared" si="5"/>
        <v>22047789.653613418</v>
      </c>
      <c r="R27" s="967">
        <f t="shared" si="5"/>
        <v>22521476.910552531</v>
      </c>
      <c r="S27" s="967">
        <f t="shared" si="5"/>
        <v>23002108.11183013</v>
      </c>
      <c r="T27" s="967">
        <f t="shared" si="5"/>
        <v>23489772.106378257</v>
      </c>
      <c r="U27" s="967">
        <f t="shared" si="5"/>
        <v>23984558.804005235</v>
      </c>
      <c r="V27" s="967">
        <f t="shared" si="5"/>
        <v>24486559.18755196</v>
      </c>
      <c r="W27" s="967">
        <f t="shared" si="5"/>
        <v>24995865.325183898</v>
      </c>
      <c r="X27" s="967">
        <f t="shared" si="5"/>
        <v>25512570.382820174</v>
      </c>
      <c r="Y27" s="968">
        <f t="shared" si="5"/>
        <v>26036768.636701316</v>
      </c>
      <c r="Z27" s="967"/>
    </row>
    <row r="28" spans="2:26" ht="18" customHeight="1" x14ac:dyDescent="0.3">
      <c r="B28" s="969" t="s">
        <v>484</v>
      </c>
      <c r="C28" s="965" t="s">
        <v>473</v>
      </c>
      <c r="D28" s="958"/>
      <c r="E28" s="966">
        <f t="shared" ref="E28:Y28" si="6">E27*$D$6</f>
        <v>23520.129447328945</v>
      </c>
      <c r="F28" s="967">
        <f t="shared" si="6"/>
        <v>24073.376150582095</v>
      </c>
      <c r="G28" s="967">
        <f t="shared" si="6"/>
        <v>24634.924982359411</v>
      </c>
      <c r="H28" s="967">
        <f t="shared" si="6"/>
        <v>25204.8832958436</v>
      </c>
      <c r="I28" s="967">
        <f t="shared" si="6"/>
        <v>25783.359733608831</v>
      </c>
      <c r="J28" s="967">
        <f t="shared" si="6"/>
        <v>26370.46424245058</v>
      </c>
      <c r="K28" s="967">
        <f t="shared" si="6"/>
        <v>26966.308088380389</v>
      </c>
      <c r="L28" s="967">
        <f t="shared" si="6"/>
        <v>27571.003871789166</v>
      </c>
      <c r="M28" s="967">
        <f t="shared" si="6"/>
        <v>28184.665542779803</v>
      </c>
      <c r="N28" s="967">
        <f t="shared" si="6"/>
        <v>28807.408416670933</v>
      </c>
      <c r="O28" s="967">
        <f t="shared" si="6"/>
        <v>29439.349189673769</v>
      </c>
      <c r="P28" s="967">
        <f t="shared" si="6"/>
        <v>30080.605954744842</v>
      </c>
      <c r="Q28" s="967">
        <f t="shared" si="6"/>
        <v>30731.298217615145</v>
      </c>
      <c r="R28" s="967">
        <f t="shared" si="6"/>
        <v>31391.546912998278</v>
      </c>
      <c r="S28" s="967">
        <f t="shared" si="6"/>
        <v>32061.474420980096</v>
      </c>
      <c r="T28" s="967">
        <f t="shared" si="6"/>
        <v>32741.204583590559</v>
      </c>
      <c r="U28" s="967">
        <f t="shared" si="6"/>
        <v>33430.862721561389</v>
      </c>
      <c r="V28" s="967">
        <f t="shared" si="6"/>
        <v>34130.575651270119</v>
      </c>
      <c r="W28" s="967">
        <f t="shared" si="6"/>
        <v>34840.471701873255</v>
      </c>
      <c r="X28" s="967">
        <f t="shared" si="6"/>
        <v>35560.680732630586</v>
      </c>
      <c r="Y28" s="968">
        <f t="shared" si="6"/>
        <v>36291.334150422706</v>
      </c>
      <c r="Z28" s="967"/>
    </row>
    <row r="29" spans="2:26" ht="18" customHeight="1" x14ac:dyDescent="0.3">
      <c r="B29" s="969"/>
      <c r="C29" s="965"/>
      <c r="D29" s="958"/>
      <c r="E29" s="966"/>
      <c r="F29" s="967"/>
      <c r="G29" s="967"/>
      <c r="H29" s="967"/>
      <c r="I29" s="967"/>
      <c r="J29" s="967"/>
      <c r="K29" s="967"/>
      <c r="L29" s="967"/>
      <c r="M29" s="967"/>
      <c r="N29" s="967"/>
      <c r="O29" s="967"/>
      <c r="P29" s="967"/>
      <c r="Q29" s="967"/>
      <c r="R29" s="967"/>
      <c r="S29" s="967"/>
      <c r="T29" s="967"/>
      <c r="U29" s="967"/>
      <c r="V29" s="967"/>
      <c r="W29" s="967"/>
      <c r="X29" s="967"/>
      <c r="Y29" s="968"/>
      <c r="Z29" s="1029"/>
    </row>
    <row r="30" spans="2:26" ht="18" customHeight="1" x14ac:dyDescent="0.3">
      <c r="B30" s="1027" t="s">
        <v>469</v>
      </c>
      <c r="C30" s="965"/>
      <c r="D30" s="958"/>
      <c r="E30" s="966"/>
      <c r="F30" s="967"/>
      <c r="G30" s="967"/>
      <c r="H30" s="967"/>
      <c r="I30" s="967"/>
      <c r="J30" s="967"/>
      <c r="K30" s="967"/>
      <c r="L30" s="967"/>
      <c r="M30" s="967"/>
      <c r="N30" s="967"/>
      <c r="O30" s="967"/>
      <c r="P30" s="967"/>
      <c r="Q30" s="967"/>
      <c r="R30" s="967"/>
      <c r="S30" s="967"/>
      <c r="T30" s="967"/>
      <c r="U30" s="967"/>
      <c r="V30" s="967"/>
      <c r="W30" s="967"/>
      <c r="X30" s="967"/>
      <c r="Y30" s="968"/>
      <c r="Z30" s="1029"/>
    </row>
    <row r="31" spans="2:26" ht="18" customHeight="1" x14ac:dyDescent="0.3">
      <c r="B31" s="969" t="s">
        <v>855</v>
      </c>
      <c r="C31" s="965"/>
      <c r="D31" s="958"/>
      <c r="E31" s="1030">
        <f t="shared" ref="E31:Y31" si="7">E13+E19+E25</f>
        <v>614040720.01163816</v>
      </c>
      <c r="F31" s="1031">
        <f t="shared" si="7"/>
        <v>617835397.90280497</v>
      </c>
      <c r="G31" s="1031">
        <f t="shared" si="7"/>
        <v>621660812.52363086</v>
      </c>
      <c r="H31" s="1031">
        <f t="shared" si="7"/>
        <v>625517220.59871364</v>
      </c>
      <c r="I31" s="1031">
        <f t="shared" si="7"/>
        <v>629404881.00325954</v>
      </c>
      <c r="J31" s="1031">
        <f t="shared" si="7"/>
        <v>633324054.78110492</v>
      </c>
      <c r="K31" s="1031">
        <f t="shared" si="7"/>
        <v>637275005.16288865</v>
      </c>
      <c r="L31" s="1031">
        <f t="shared" si="7"/>
        <v>641257997.58437586</v>
      </c>
      <c r="M31" s="1031">
        <f t="shared" si="7"/>
        <v>645273299.70493734</v>
      </c>
      <c r="N31" s="1031">
        <f t="shared" si="7"/>
        <v>649321181.42618167</v>
      </c>
      <c r="O31" s="1031">
        <f t="shared" si="7"/>
        <v>653401914.91074479</v>
      </c>
      <c r="P31" s="1031">
        <f t="shared" si="7"/>
        <v>657515774.6012361</v>
      </c>
      <c r="Q31" s="1031">
        <f t="shared" si="7"/>
        <v>661663037.23934495</v>
      </c>
      <c r="R31" s="1031">
        <f t="shared" si="7"/>
        <v>665843981.88510478</v>
      </c>
      <c r="S31" s="1031">
        <f t="shared" si="7"/>
        <v>670058889.9363209</v>
      </c>
      <c r="T31" s="1031">
        <f t="shared" si="7"/>
        <v>674308045.1481595</v>
      </c>
      <c r="U31" s="1031">
        <f t="shared" si="7"/>
        <v>678591733.65290332</v>
      </c>
      <c r="V31" s="1031">
        <f t="shared" si="7"/>
        <v>682910243.97986865</v>
      </c>
      <c r="W31" s="1031">
        <f t="shared" si="7"/>
        <v>687263867.07549322</v>
      </c>
      <c r="X31" s="1031">
        <f t="shared" si="7"/>
        <v>691652896.32359087</v>
      </c>
      <c r="Y31" s="1032">
        <f t="shared" si="7"/>
        <v>696077627.56577539</v>
      </c>
      <c r="Z31" s="1029"/>
    </row>
    <row r="32" spans="2:26" ht="18" customHeight="1" x14ac:dyDescent="0.3">
      <c r="B32" s="969" t="s">
        <v>856</v>
      </c>
      <c r="C32" s="965"/>
      <c r="D32" s="958"/>
      <c r="E32" s="1030">
        <f t="shared" ref="E32:Y32" si="8">E14+E20+E26</f>
        <v>710324505.46480131</v>
      </c>
      <c r="F32" s="1031">
        <f t="shared" si="8"/>
        <v>716149442.17004573</v>
      </c>
      <c r="G32" s="1031">
        <f t="shared" si="8"/>
        <v>722030820.46261263</v>
      </c>
      <c r="H32" s="1031">
        <f t="shared" si="8"/>
        <v>727969217.4072938</v>
      </c>
      <c r="I32" s="1031">
        <f t="shared" si="8"/>
        <v>733965216.05767953</v>
      </c>
      <c r="J32" s="1031">
        <f t="shared" si="8"/>
        <v>740019405.51856184</v>
      </c>
      <c r="K32" s="1031">
        <f t="shared" si="8"/>
        <v>746132381.00898302</v>
      </c>
      <c r="L32" s="1031">
        <f t="shared" si="8"/>
        <v>752304743.92594695</v>
      </c>
      <c r="M32" s="1031">
        <f t="shared" si="8"/>
        <v>758537101.90879059</v>
      </c>
      <c r="N32" s="1031">
        <f t="shared" si="8"/>
        <v>764830068.90423083</v>
      </c>
      <c r="O32" s="1031">
        <f t="shared" si="8"/>
        <v>771184265.23208606</v>
      </c>
      <c r="P32" s="1031">
        <f t="shared" si="8"/>
        <v>777600317.65168691</v>
      </c>
      <c r="Q32" s="1031">
        <f t="shared" si="8"/>
        <v>784078859.42897642</v>
      </c>
      <c r="R32" s="1031">
        <f t="shared" si="8"/>
        <v>790620530.40431261</v>
      </c>
      <c r="S32" s="1031">
        <f t="shared" si="8"/>
        <v>797225977.06097651</v>
      </c>
      <c r="T32" s="1031">
        <f t="shared" si="8"/>
        <v>803895852.59439647</v>
      </c>
      <c r="U32" s="1031">
        <f t="shared" si="8"/>
        <v>810630816.98209286</v>
      </c>
      <c r="V32" s="1031">
        <f t="shared" si="8"/>
        <v>817431537.05435395</v>
      </c>
      <c r="W32" s="1031">
        <f t="shared" si="8"/>
        <v>824298686.56564689</v>
      </c>
      <c r="X32" s="1031">
        <f t="shared" si="8"/>
        <v>831232946.26677632</v>
      </c>
      <c r="Y32" s="1032">
        <f t="shared" si="8"/>
        <v>838235003.97779346</v>
      </c>
      <c r="Z32" s="1029"/>
    </row>
    <row r="33" spans="2:26" ht="18" customHeight="1" x14ac:dyDescent="0.3">
      <c r="B33" s="969" t="s">
        <v>470</v>
      </c>
      <c r="C33" s="965" t="s">
        <v>474</v>
      </c>
      <c r="D33" s="958"/>
      <c r="E33" s="1030">
        <f>E32-E31</f>
        <v>96283785.453163147</v>
      </c>
      <c r="F33" s="1031">
        <f t="shared" ref="F33:Y33" si="9">F32-F31</f>
        <v>98314044.267240763</v>
      </c>
      <c r="G33" s="1031">
        <f t="shared" si="9"/>
        <v>100370007.93898177</v>
      </c>
      <c r="H33" s="1031">
        <f t="shared" si="9"/>
        <v>102451996.80858016</v>
      </c>
      <c r="I33" s="1031">
        <f t="shared" si="9"/>
        <v>104560335.05441999</v>
      </c>
      <c r="J33" s="1031">
        <f t="shared" si="9"/>
        <v>106695350.73745692</v>
      </c>
      <c r="K33" s="1031">
        <f t="shared" si="9"/>
        <v>108857375.84609437</v>
      </c>
      <c r="L33" s="1031">
        <f t="shared" si="9"/>
        <v>111046746.34157109</v>
      </c>
      <c r="M33" s="1031">
        <f t="shared" si="9"/>
        <v>113263802.20385325</v>
      </c>
      <c r="N33" s="1031">
        <f t="shared" si="9"/>
        <v>115508887.47804916</v>
      </c>
      <c r="O33" s="1031">
        <f t="shared" si="9"/>
        <v>117782350.32134128</v>
      </c>
      <c r="P33" s="1031">
        <f t="shared" si="9"/>
        <v>120084543.0504508</v>
      </c>
      <c r="Q33" s="1031">
        <f t="shared" si="9"/>
        <v>122415822.18963146</v>
      </c>
      <c r="R33" s="1031">
        <f t="shared" si="9"/>
        <v>124776548.51920784</v>
      </c>
      <c r="S33" s="1031">
        <f t="shared" si="9"/>
        <v>127167087.1246556</v>
      </c>
      <c r="T33" s="1031">
        <f t="shared" si="9"/>
        <v>129587807.44623697</v>
      </c>
      <c r="U33" s="1031">
        <f t="shared" si="9"/>
        <v>132039083.32918954</v>
      </c>
      <c r="V33" s="1031">
        <f t="shared" si="9"/>
        <v>134521293.0744853</v>
      </c>
      <c r="W33" s="1031">
        <f t="shared" si="9"/>
        <v>137034819.49015367</v>
      </c>
      <c r="X33" s="1031">
        <f t="shared" si="9"/>
        <v>139580049.94318545</v>
      </c>
      <c r="Y33" s="1032">
        <f t="shared" si="9"/>
        <v>142157376.41201806</v>
      </c>
      <c r="Z33" s="967"/>
    </row>
    <row r="34" spans="2:26" ht="18" customHeight="1" x14ac:dyDescent="0.3">
      <c r="B34" s="969" t="s">
        <v>578</v>
      </c>
      <c r="C34" s="965" t="s">
        <v>475</v>
      </c>
      <c r="D34" s="958"/>
      <c r="E34" s="1030">
        <f t="shared" ref="E34:Y34" si="10">E16+E22+E28</f>
        <v>134205.09587441088</v>
      </c>
      <c r="F34" s="1031">
        <f t="shared" si="10"/>
        <v>137034.97088930302</v>
      </c>
      <c r="G34" s="1031">
        <f t="shared" si="10"/>
        <v>139900.67460443731</v>
      </c>
      <c r="H34" s="1031">
        <f t="shared" si="10"/>
        <v>142802.653525798</v>
      </c>
      <c r="I34" s="1031">
        <f t="shared" si="10"/>
        <v>145741.35950922934</v>
      </c>
      <c r="J34" s="1031">
        <f t="shared" si="10"/>
        <v>148717.24982229469</v>
      </c>
      <c r="K34" s="1031">
        <f t="shared" si="10"/>
        <v>151730.78720682906</v>
      </c>
      <c r="L34" s="1031">
        <f t="shared" si="10"/>
        <v>154782.43994220029</v>
      </c>
      <c r="M34" s="1031">
        <f t="shared" si="10"/>
        <v>157872.68190927836</v>
      </c>
      <c r="N34" s="1031">
        <f t="shared" si="10"/>
        <v>161001.99265512807</v>
      </c>
      <c r="O34" s="1031">
        <f t="shared" si="10"/>
        <v>164170.85745842737</v>
      </c>
      <c r="P34" s="1031">
        <f t="shared" si="10"/>
        <v>167379.76739562326</v>
      </c>
      <c r="Q34" s="1031">
        <f t="shared" si="10"/>
        <v>170629.21940783123</v>
      </c>
      <c r="R34" s="1031">
        <f t="shared" si="10"/>
        <v>173919.71636848664</v>
      </c>
      <c r="S34" s="1031">
        <f t="shared" si="10"/>
        <v>177251.76715175877</v>
      </c>
      <c r="T34" s="1031">
        <f t="shared" si="10"/>
        <v>180625.88670173191</v>
      </c>
      <c r="U34" s="1031">
        <f t="shared" si="10"/>
        <v>184042.59610236448</v>
      </c>
      <c r="V34" s="1031">
        <f t="shared" si="10"/>
        <v>187502.42264823546</v>
      </c>
      <c r="W34" s="1031">
        <f t="shared" si="10"/>
        <v>191005.89991608466</v>
      </c>
      <c r="X34" s="1031">
        <f t="shared" si="10"/>
        <v>194553.56783715711</v>
      </c>
      <c r="Y34" s="1032">
        <f t="shared" si="10"/>
        <v>198145.97277035937</v>
      </c>
      <c r="Z34" s="967"/>
    </row>
    <row r="35" spans="2:26" ht="18" customHeight="1" x14ac:dyDescent="0.3">
      <c r="B35" s="969"/>
      <c r="C35" s="965"/>
      <c r="D35" s="958"/>
      <c r="E35" s="966"/>
      <c r="F35" s="967"/>
      <c r="G35" s="967"/>
      <c r="H35" s="967"/>
      <c r="I35" s="967"/>
      <c r="J35" s="967"/>
      <c r="K35" s="967"/>
      <c r="L35" s="967"/>
      <c r="M35" s="967"/>
      <c r="N35" s="967"/>
      <c r="O35" s="967"/>
      <c r="P35" s="967"/>
      <c r="Q35" s="967"/>
      <c r="R35" s="967"/>
      <c r="S35" s="967"/>
      <c r="T35" s="967"/>
      <c r="U35" s="967"/>
      <c r="V35" s="967"/>
      <c r="W35" s="967"/>
      <c r="X35" s="967"/>
      <c r="Y35" s="968"/>
      <c r="Z35" s="1029"/>
    </row>
    <row r="36" spans="2:26" ht="18" customHeight="1" x14ac:dyDescent="0.3">
      <c r="B36" s="1027" t="s">
        <v>140</v>
      </c>
      <c r="C36" s="965"/>
      <c r="D36" s="958"/>
      <c r="E36" s="966"/>
      <c r="F36" s="967"/>
      <c r="G36" s="967"/>
      <c r="H36" s="967"/>
      <c r="I36" s="967"/>
      <c r="J36" s="967"/>
      <c r="K36" s="967"/>
      <c r="L36" s="967"/>
      <c r="M36" s="967"/>
      <c r="N36" s="967"/>
      <c r="O36" s="967"/>
      <c r="P36" s="967"/>
      <c r="Q36" s="967"/>
      <c r="R36" s="967"/>
      <c r="S36" s="967"/>
      <c r="T36" s="967"/>
      <c r="U36" s="967"/>
      <c r="V36" s="967"/>
      <c r="W36" s="967"/>
      <c r="X36" s="967"/>
      <c r="Y36" s="968"/>
      <c r="Z36" s="1029"/>
    </row>
    <row r="37" spans="2:26" ht="18" customHeight="1" x14ac:dyDescent="0.3">
      <c r="B37" s="969" t="s">
        <v>855</v>
      </c>
      <c r="C37" s="965"/>
      <c r="D37" s="958"/>
      <c r="E37" s="1030">
        <f>'Build.vs.No-Build'!F7</f>
        <v>47512403.086307317</v>
      </c>
      <c r="F37" s="1031">
        <f>'Build.vs.No-Build'!G7</f>
        <v>47823729.657975234</v>
      </c>
      <c r="G37" s="1031">
        <f>'Build.vs.No-Build'!H7</f>
        <v>48137096.207163334</v>
      </c>
      <c r="H37" s="1031">
        <f>'Build.vs.No-Build'!I7</f>
        <v>48452516.100890905</v>
      </c>
      <c r="I37" s="1031">
        <f>'Build.vs.No-Build'!J7</f>
        <v>48770002.793765053</v>
      </c>
      <c r="J37" s="1031">
        <f>'Build.vs.No-Build'!K7</f>
        <v>49089569.8285546</v>
      </c>
      <c r="K37" s="1031">
        <f>'Build.vs.No-Build'!L7</f>
        <v>49411230.836767867</v>
      </c>
      <c r="L37" s="1031">
        <f>'Build.vs.No-Build'!M7</f>
        <v>49734999.539234027</v>
      </c>
      <c r="M37" s="1031">
        <f>'Build.vs.No-Build'!N7</f>
        <v>50060889.746688448</v>
      </c>
      <c r="N37" s="1031">
        <f>'Build.vs.No-Build'!O7</f>
        <v>50388915.360361814</v>
      </c>
      <c r="O37" s="1031">
        <f>'Build.vs.No-Build'!P7</f>
        <v>50719090.37257304</v>
      </c>
      <c r="P37" s="1031">
        <f>'Build.vs.No-Build'!Q7</f>
        <v>51051428.867326185</v>
      </c>
      <c r="Q37" s="1031">
        <f>'Build.vs.No-Build'!R7</f>
        <v>51385945.020911202</v>
      </c>
      <c r="R37" s="1031">
        <f>'Build.vs.No-Build'!S7</f>
        <v>51722653.102508679</v>
      </c>
      <c r="S37" s="1031">
        <f>'Build.vs.No-Build'!T7</f>
        <v>52061567.474798411</v>
      </c>
      <c r="T37" s="1031">
        <f>'Build.vs.No-Build'!U7</f>
        <v>52402702.594572172</v>
      </c>
      <c r="U37" s="1031">
        <f>'Build.vs.No-Build'!V7</f>
        <v>52746073.013350315</v>
      </c>
      <c r="V37" s="1031">
        <f>'Build.vs.No-Build'!W7</f>
        <v>53091693.378002509</v>
      </c>
      <c r="W37" s="1031">
        <f>'Build.vs.No-Build'!X7</f>
        <v>53439578.431372523</v>
      </c>
      <c r="X37" s="1031">
        <f>'Build.vs.No-Build'!Y7</f>
        <v>53789743.012907073</v>
      </c>
      <c r="Y37" s="1032">
        <f>'Build.vs.No-Build'!Z7</f>
        <v>54142202.059288852</v>
      </c>
      <c r="Z37" s="1029"/>
    </row>
    <row r="38" spans="2:26" ht="18" customHeight="1" x14ac:dyDescent="0.3">
      <c r="B38" s="969" t="s">
        <v>856</v>
      </c>
      <c r="C38" s="965"/>
      <c r="D38" s="958"/>
      <c r="E38" s="1030">
        <f>'Build.vs.No-Build'!F40</f>
        <v>43316911.764705881</v>
      </c>
      <c r="F38" s="1031">
        <f>'Build.vs.No-Build'!G40</f>
        <v>44290358.775713623</v>
      </c>
      <c r="G38" s="1031">
        <f>'Build.vs.No-Build'!H40</f>
        <v>45285681.747971497</v>
      </c>
      <c r="H38" s="1031">
        <f>'Build.vs.No-Build'!I40</f>
        <v>46303372.292913094</v>
      </c>
      <c r="I38" s="1031">
        <f>'Build.vs.No-Build'!J40</f>
        <v>47343933.069797494</v>
      </c>
      <c r="J38" s="1031">
        <f>'Build.vs.No-Build'!K40</f>
        <v>48407878.033983424</v>
      </c>
      <c r="K38" s="1031">
        <f>'Build.vs.No-Build'!L40</f>
        <v>49495732.690782927</v>
      </c>
      <c r="L38" s="1031">
        <f>'Build.vs.No-Build'!M40</f>
        <v>50608034.355019726</v>
      </c>
      <c r="M38" s="1031">
        <f>'Build.vs.No-Build'!N40</f>
        <v>51745332.416420579</v>
      </c>
      <c r="N38" s="1031">
        <f>'Build.vs.No-Build'!O40</f>
        <v>52908188.610970639</v>
      </c>
      <c r="O38" s="1031">
        <f>'Build.vs.No-Build'!P40</f>
        <v>54097177.298367038</v>
      </c>
      <c r="P38" s="1031">
        <f>'Build.vs.No-Build'!Q40</f>
        <v>55312885.74570743</v>
      </c>
      <c r="Q38" s="1031">
        <f>'Build.vs.No-Build'!R40</f>
        <v>56555914.417553887</v>
      </c>
      <c r="R38" s="1031">
        <f>'Build.vs.No-Build'!S40</f>
        <v>57826877.272515193</v>
      </c>
      <c r="S38" s="1031">
        <f>'Build.vs.No-Build'!T40</f>
        <v>59126402.066494316</v>
      </c>
      <c r="T38" s="1031">
        <f>'Build.vs.No-Build'!U40</f>
        <v>60455130.662750512</v>
      </c>
      <c r="U38" s="1031">
        <f>'Build.vs.No-Build'!V40</f>
        <v>61813719.348929383</v>
      </c>
      <c r="V38" s="1031">
        <f>'Build.vs.No-Build'!W40</f>
        <v>63202839.161217436</v>
      </c>
      <c r="W38" s="1031">
        <f>'Build.vs.No-Build'!X40</f>
        <v>64623176.21578142</v>
      </c>
      <c r="X38" s="1031">
        <f>'Build.vs.No-Build'!Y40</f>
        <v>66075432.047655731</v>
      </c>
      <c r="Y38" s="1032">
        <f>'Build.vs.No-Build'!Z40</f>
        <v>67560323.957245752</v>
      </c>
      <c r="Z38" s="1029"/>
    </row>
    <row r="39" spans="2:26" ht="18" customHeight="1" x14ac:dyDescent="0.3">
      <c r="B39" s="969" t="s">
        <v>291</v>
      </c>
      <c r="C39" s="965" t="s">
        <v>477</v>
      </c>
      <c r="D39" s="958"/>
      <c r="E39" s="1030">
        <f>E38-E37</f>
        <v>-4195491.3216014355</v>
      </c>
      <c r="F39" s="1031">
        <f t="shared" ref="F39:Y39" si="11">F38-F37</f>
        <v>-3533370.8822616115</v>
      </c>
      <c r="G39" s="1031">
        <f t="shared" si="11"/>
        <v>-2851414.4591918364</v>
      </c>
      <c r="H39" s="1031">
        <f t="shared" si="11"/>
        <v>-2149143.8079778105</v>
      </c>
      <c r="I39" s="1031">
        <f t="shared" si="11"/>
        <v>-1426069.7239675596</v>
      </c>
      <c r="J39" s="1031">
        <f t="shared" si="11"/>
        <v>-681691.79457117617</v>
      </c>
      <c r="K39" s="1031">
        <f t="shared" si="11"/>
        <v>84501.854015059769</v>
      </c>
      <c r="L39" s="1031">
        <f t="shared" si="11"/>
        <v>873034.81578569859</v>
      </c>
      <c r="M39" s="1031">
        <f t="shared" si="11"/>
        <v>1684442.6697321311</v>
      </c>
      <c r="N39" s="1031">
        <f t="shared" si="11"/>
        <v>2519273.2506088242</v>
      </c>
      <c r="O39" s="1031">
        <f t="shared" si="11"/>
        <v>3378086.9257939979</v>
      </c>
      <c r="P39" s="1031">
        <f t="shared" si="11"/>
        <v>4261456.8783812448</v>
      </c>
      <c r="Q39" s="1031">
        <f t="shared" si="11"/>
        <v>5169969.3966426849</v>
      </c>
      <c r="R39" s="1031">
        <f t="shared" si="11"/>
        <v>6104224.1700065136</v>
      </c>
      <c r="S39" s="1031">
        <f t="shared" si="11"/>
        <v>7064834.5916959047</v>
      </c>
      <c r="T39" s="1031">
        <f t="shared" si="11"/>
        <v>8052428.0681783408</v>
      </c>
      <c r="U39" s="1031">
        <f t="shared" si="11"/>
        <v>9067646.3355790675</v>
      </c>
      <c r="V39" s="1031">
        <f t="shared" si="11"/>
        <v>10111145.783214927</v>
      </c>
      <c r="W39" s="1031">
        <f t="shared" si="11"/>
        <v>11183597.784408897</v>
      </c>
      <c r="X39" s="1031">
        <f t="shared" si="11"/>
        <v>12285689.034748659</v>
      </c>
      <c r="Y39" s="1032">
        <f t="shared" si="11"/>
        <v>13418121.8979569</v>
      </c>
      <c r="Z39" s="967"/>
    </row>
    <row r="40" spans="2:26" ht="18" customHeight="1" x14ac:dyDescent="0.3">
      <c r="B40" s="969" t="s">
        <v>579</v>
      </c>
      <c r="C40" s="965" t="s">
        <v>478</v>
      </c>
      <c r="D40" s="958"/>
      <c r="E40" s="1030">
        <f t="shared" ref="E40:Y40" si="12">E39*$D$7</f>
        <v>-1061390.7700205259</v>
      </c>
      <c r="F40" s="1031">
        <f t="shared" si="12"/>
        <v>-893885.1147617813</v>
      </c>
      <c r="G40" s="1031">
        <f t="shared" si="12"/>
        <v>-721361.27964485239</v>
      </c>
      <c r="H40" s="1031">
        <f t="shared" si="12"/>
        <v>-543698.27664515714</v>
      </c>
      <c r="I40" s="1031">
        <f t="shared" si="12"/>
        <v>-360772.34497702005</v>
      </c>
      <c r="J40" s="1031">
        <f t="shared" si="12"/>
        <v>-172456.88842955255</v>
      </c>
      <c r="K40" s="1031">
        <f t="shared" si="12"/>
        <v>21377.588708006555</v>
      </c>
      <c r="L40" s="1031">
        <f t="shared" si="12"/>
        <v>220863.54716324664</v>
      </c>
      <c r="M40" s="1031">
        <f t="shared" si="12"/>
        <v>426136.47967217979</v>
      </c>
      <c r="N40" s="1031">
        <f t="shared" si="12"/>
        <v>637334.97947867576</v>
      </c>
      <c r="O40" s="1031">
        <f t="shared" si="12"/>
        <v>854600.81037569023</v>
      </c>
      <c r="P40" s="1031">
        <f t="shared" si="12"/>
        <v>1078078.9783228205</v>
      </c>
      <c r="Q40" s="1031">
        <f t="shared" si="12"/>
        <v>1307917.8046757553</v>
      </c>
      <c r="R40" s="1031">
        <f t="shared" si="12"/>
        <v>1544269.001063759</v>
      </c>
      <c r="S40" s="1031">
        <f t="shared" si="12"/>
        <v>1787287.745952371</v>
      </c>
      <c r="T40" s="1031">
        <f t="shared" si="12"/>
        <v>2037132.7629290312</v>
      </c>
      <c r="U40" s="1031">
        <f t="shared" si="12"/>
        <v>2293966.4007505151</v>
      </c>
      <c r="V40" s="1031">
        <f t="shared" si="12"/>
        <v>2557954.7151917084</v>
      </c>
      <c r="W40" s="1031">
        <f t="shared" si="12"/>
        <v>2829267.5527362828</v>
      </c>
      <c r="X40" s="1031">
        <f t="shared" si="12"/>
        <v>3108078.636150586</v>
      </c>
      <c r="Y40" s="1032">
        <f t="shared" si="12"/>
        <v>3394565.651983181</v>
      </c>
      <c r="Z40" s="967"/>
    </row>
    <row r="41" spans="2:26" ht="18" customHeight="1" x14ac:dyDescent="0.3">
      <c r="B41" s="969"/>
      <c r="C41" s="965"/>
      <c r="D41" s="958"/>
      <c r="E41" s="1030"/>
      <c r="F41" s="1031"/>
      <c r="G41" s="1031"/>
      <c r="H41" s="1031"/>
      <c r="I41" s="1031"/>
      <c r="J41" s="1031"/>
      <c r="K41" s="1031"/>
      <c r="L41" s="1031"/>
      <c r="M41" s="1031"/>
      <c r="N41" s="1031"/>
      <c r="O41" s="1031"/>
      <c r="P41" s="1031"/>
      <c r="Q41" s="1031"/>
      <c r="R41" s="1031"/>
      <c r="S41" s="1031"/>
      <c r="T41" s="1031"/>
      <c r="U41" s="1031"/>
      <c r="V41" s="1031"/>
      <c r="W41" s="1031"/>
      <c r="X41" s="1031"/>
      <c r="Y41" s="1032"/>
      <c r="Z41" s="1029"/>
    </row>
    <row r="42" spans="2:26" ht="21" x14ac:dyDescent="0.3">
      <c r="B42" s="1033" t="s">
        <v>855</v>
      </c>
      <c r="C42" s="965"/>
      <c r="D42" s="958"/>
      <c r="E42" s="1030">
        <f>E31+E37</f>
        <v>661553123.09794545</v>
      </c>
      <c r="F42" s="1031">
        <f t="shared" ref="F42:Y42" si="13">F31+F37</f>
        <v>665659127.56078017</v>
      </c>
      <c r="G42" s="1031">
        <f t="shared" si="13"/>
        <v>669797908.73079419</v>
      </c>
      <c r="H42" s="1031">
        <f t="shared" si="13"/>
        <v>673969736.69960451</v>
      </c>
      <c r="I42" s="1031">
        <f t="shared" si="13"/>
        <v>678174883.79702461</v>
      </c>
      <c r="J42" s="1031">
        <f t="shared" si="13"/>
        <v>682413624.60965955</v>
      </c>
      <c r="K42" s="1031">
        <f t="shared" si="13"/>
        <v>686686235.99965656</v>
      </c>
      <c r="L42" s="1031">
        <f t="shared" si="13"/>
        <v>690992997.1236099</v>
      </c>
      <c r="M42" s="1031">
        <f t="shared" si="13"/>
        <v>695334189.45162582</v>
      </c>
      <c r="N42" s="1031">
        <f t="shared" si="13"/>
        <v>699710096.78654349</v>
      </c>
      <c r="O42" s="1031">
        <f t="shared" si="13"/>
        <v>704121005.2833178</v>
      </c>
      <c r="P42" s="1031">
        <f t="shared" si="13"/>
        <v>708567203.46856225</v>
      </c>
      <c r="Q42" s="1031">
        <f t="shared" si="13"/>
        <v>713048982.26025617</v>
      </c>
      <c r="R42" s="1031">
        <f t="shared" si="13"/>
        <v>717566634.98761344</v>
      </c>
      <c r="S42" s="1031">
        <f t="shared" si="13"/>
        <v>722120457.41111934</v>
      </c>
      <c r="T42" s="1031">
        <f t="shared" si="13"/>
        <v>726710747.74273169</v>
      </c>
      <c r="U42" s="1031">
        <f t="shared" si="13"/>
        <v>731337806.66625369</v>
      </c>
      <c r="V42" s="1031">
        <f t="shared" si="13"/>
        <v>736001937.35787117</v>
      </c>
      <c r="W42" s="1031">
        <f t="shared" si="13"/>
        <v>740703445.50686574</v>
      </c>
      <c r="X42" s="1031">
        <f t="shared" si="13"/>
        <v>745442639.3364979</v>
      </c>
      <c r="Y42" s="1032">
        <f t="shared" si="13"/>
        <v>750219829.62506425</v>
      </c>
      <c r="Z42" s="1029"/>
    </row>
    <row r="43" spans="2:26" ht="21" x14ac:dyDescent="0.3">
      <c r="B43" s="1033" t="s">
        <v>856</v>
      </c>
      <c r="C43" s="965"/>
      <c r="D43" s="958"/>
      <c r="E43" s="1030">
        <f>E32+E38</f>
        <v>753641417.22950721</v>
      </c>
      <c r="F43" s="1031">
        <f t="shared" ref="F43:Y43" si="14">F32+F38</f>
        <v>760439800.9457593</v>
      </c>
      <c r="G43" s="1031">
        <f t="shared" si="14"/>
        <v>767316502.21058416</v>
      </c>
      <c r="H43" s="1031">
        <f t="shared" si="14"/>
        <v>774272589.70020688</v>
      </c>
      <c r="I43" s="1031">
        <f t="shared" si="14"/>
        <v>781309149.12747705</v>
      </c>
      <c r="J43" s="1031">
        <f t="shared" si="14"/>
        <v>788427283.55254531</v>
      </c>
      <c r="K43" s="1031">
        <f t="shared" si="14"/>
        <v>795628113.69976592</v>
      </c>
      <c r="L43" s="1031">
        <f t="shared" si="14"/>
        <v>802912778.28096664</v>
      </c>
      <c r="M43" s="1031">
        <f t="shared" si="14"/>
        <v>810282434.32521117</v>
      </c>
      <c r="N43" s="1031">
        <f t="shared" si="14"/>
        <v>817738257.51520145</v>
      </c>
      <c r="O43" s="1031">
        <f t="shared" si="14"/>
        <v>825281442.53045309</v>
      </c>
      <c r="P43" s="1031">
        <f t="shared" si="14"/>
        <v>832913203.3973943</v>
      </c>
      <c r="Q43" s="1031">
        <f t="shared" si="14"/>
        <v>840634773.84653032</v>
      </c>
      <c r="R43" s="1031">
        <f t="shared" si="14"/>
        <v>848447407.67682779</v>
      </c>
      <c r="S43" s="1031">
        <f t="shared" si="14"/>
        <v>856352379.12747085</v>
      </c>
      <c r="T43" s="1031">
        <f t="shared" si="14"/>
        <v>864350983.25714695</v>
      </c>
      <c r="U43" s="1031">
        <f t="shared" si="14"/>
        <v>872444536.33102226</v>
      </c>
      <c r="V43" s="1031">
        <f t="shared" si="14"/>
        <v>880634376.2155714</v>
      </c>
      <c r="W43" s="1031">
        <f t="shared" si="14"/>
        <v>888921862.78142834</v>
      </c>
      <c r="X43" s="1031">
        <f t="shared" si="14"/>
        <v>897308378.31443202</v>
      </c>
      <c r="Y43" s="1032">
        <f t="shared" si="14"/>
        <v>905795327.93503916</v>
      </c>
      <c r="Z43" s="1029"/>
    </row>
    <row r="44" spans="2:26" ht="21" x14ac:dyDescent="0.3">
      <c r="B44" s="1033" t="s">
        <v>491</v>
      </c>
      <c r="C44" s="965" t="s">
        <v>486</v>
      </c>
      <c r="D44" s="958"/>
      <c r="E44" s="1030">
        <f>E33+E39</f>
        <v>92088294.131561711</v>
      </c>
      <c r="F44" s="1031">
        <f t="shared" ref="F44:Y44" si="15">F33+F39</f>
        <v>94780673.384979159</v>
      </c>
      <c r="G44" s="1031">
        <f t="shared" si="15"/>
        <v>97518593.479789943</v>
      </c>
      <c r="H44" s="1031">
        <f t="shared" si="15"/>
        <v>100302853.00060235</v>
      </c>
      <c r="I44" s="1031">
        <f t="shared" si="15"/>
        <v>103134265.33045244</v>
      </c>
      <c r="J44" s="1031">
        <f t="shared" si="15"/>
        <v>106013658.94288574</v>
      </c>
      <c r="K44" s="1031">
        <f t="shared" si="15"/>
        <v>108941877.70010942</v>
      </c>
      <c r="L44" s="1031">
        <f t="shared" si="15"/>
        <v>111919781.1573568</v>
      </c>
      <c r="M44" s="1031">
        <f t="shared" si="15"/>
        <v>114948244.87358537</v>
      </c>
      <c r="N44" s="1031">
        <f t="shared" si="15"/>
        <v>118028160.72865799</v>
      </c>
      <c r="O44" s="1031">
        <f t="shared" si="15"/>
        <v>121160437.24713528</v>
      </c>
      <c r="P44" s="1031">
        <f t="shared" si="15"/>
        <v>124345999.92883205</v>
      </c>
      <c r="Q44" s="1031">
        <f t="shared" si="15"/>
        <v>127585791.58627415</v>
      </c>
      <c r="R44" s="1031">
        <f t="shared" si="15"/>
        <v>130880772.68921435</v>
      </c>
      <c r="S44" s="1031">
        <f t="shared" si="15"/>
        <v>134231921.71635151</v>
      </c>
      <c r="T44" s="1031">
        <f t="shared" si="15"/>
        <v>137640235.51441532</v>
      </c>
      <c r="U44" s="1031">
        <f t="shared" si="15"/>
        <v>141106729.66476861</v>
      </c>
      <c r="V44" s="1031">
        <f t="shared" si="15"/>
        <v>144632438.85770023</v>
      </c>
      <c r="W44" s="1031">
        <f t="shared" si="15"/>
        <v>148218417.27456257</v>
      </c>
      <c r="X44" s="1031">
        <f t="shared" si="15"/>
        <v>151865738.97793412</v>
      </c>
      <c r="Y44" s="1032">
        <f t="shared" si="15"/>
        <v>155575498.30997497</v>
      </c>
      <c r="Z44" s="967"/>
    </row>
    <row r="45" spans="2:26" ht="49.5" customHeight="1" thickBot="1" x14ac:dyDescent="0.35">
      <c r="B45" s="1034" t="s">
        <v>580</v>
      </c>
      <c r="C45" s="975" t="s">
        <v>487</v>
      </c>
      <c r="D45" s="1341"/>
      <c r="E45" s="1035">
        <f>E34+E40</f>
        <v>-927185.67414611508</v>
      </c>
      <c r="F45" s="1036">
        <f t="shared" ref="F45:Y45" si="16">F34+F40</f>
        <v>-756850.14387247828</v>
      </c>
      <c r="G45" s="1036">
        <f t="shared" si="16"/>
        <v>-581460.60504041507</v>
      </c>
      <c r="H45" s="1036">
        <f t="shared" si="16"/>
        <v>-400895.62311935914</v>
      </c>
      <c r="I45" s="1036">
        <f t="shared" si="16"/>
        <v>-215030.98546779071</v>
      </c>
      <c r="J45" s="1036">
        <f t="shared" si="16"/>
        <v>-23739.638607257861</v>
      </c>
      <c r="K45" s="1036">
        <f t="shared" si="16"/>
        <v>173108.3759148356</v>
      </c>
      <c r="L45" s="1036">
        <f t="shared" si="16"/>
        <v>375645.98710544693</v>
      </c>
      <c r="M45" s="1036">
        <f t="shared" si="16"/>
        <v>584009.16158145817</v>
      </c>
      <c r="N45" s="1036">
        <f t="shared" si="16"/>
        <v>798336.97213380388</v>
      </c>
      <c r="O45" s="1036">
        <f t="shared" si="16"/>
        <v>1018771.6678341175</v>
      </c>
      <c r="P45" s="1036">
        <f t="shared" si="16"/>
        <v>1245458.7457184438</v>
      </c>
      <c r="Q45" s="1036">
        <f t="shared" si="16"/>
        <v>1478547.0240835866</v>
      </c>
      <c r="R45" s="1036">
        <f t="shared" si="16"/>
        <v>1718188.7174322456</v>
      </c>
      <c r="S45" s="1036">
        <f t="shared" si="16"/>
        <v>1964539.5131041298</v>
      </c>
      <c r="T45" s="1036">
        <f t="shared" si="16"/>
        <v>2217758.6496307631</v>
      </c>
      <c r="U45" s="1036">
        <f t="shared" si="16"/>
        <v>2478008.9968528794</v>
      </c>
      <c r="V45" s="1036">
        <f t="shared" si="16"/>
        <v>2745457.1378399441</v>
      </c>
      <c r="W45" s="1036">
        <f t="shared" si="16"/>
        <v>3020273.4526523673</v>
      </c>
      <c r="X45" s="1036">
        <f t="shared" si="16"/>
        <v>3302632.2039877432</v>
      </c>
      <c r="Y45" s="1037">
        <f t="shared" si="16"/>
        <v>3592711.6247535404</v>
      </c>
      <c r="Z45" s="967"/>
    </row>
    <row r="46" spans="2:26" ht="21" customHeight="1" x14ac:dyDescent="0.3">
      <c r="B46" s="995" t="s">
        <v>315</v>
      </c>
      <c r="C46" s="1038"/>
      <c r="D46" s="1038"/>
      <c r="E46" s="1038"/>
      <c r="F46" s="1038"/>
      <c r="G46" s="1038"/>
      <c r="H46" s="1038"/>
      <c r="I46" s="1038"/>
      <c r="J46" s="1038"/>
      <c r="K46" s="1038"/>
      <c r="L46" s="1038"/>
      <c r="M46" s="1038"/>
      <c r="N46" s="1038"/>
      <c r="O46" s="1038"/>
      <c r="P46" s="1038"/>
      <c r="Q46" s="1038"/>
      <c r="R46" s="1038"/>
      <c r="S46" s="1038"/>
      <c r="T46" s="1038"/>
      <c r="U46" s="1038"/>
      <c r="V46" s="1038"/>
    </row>
    <row r="47" spans="2:26" x14ac:dyDescent="0.3">
      <c r="B47" s="958"/>
      <c r="C47" s="958"/>
      <c r="D47" s="958"/>
      <c r="E47" s="967"/>
      <c r="F47" s="958"/>
      <c r="G47" s="958"/>
      <c r="H47" s="958"/>
      <c r="I47" s="958"/>
      <c r="J47" s="958"/>
      <c r="K47" s="958"/>
      <c r="L47" s="958"/>
      <c r="M47" s="958"/>
      <c r="N47" s="958"/>
      <c r="O47" s="958"/>
      <c r="P47" s="958"/>
      <c r="Q47" s="958"/>
      <c r="R47" s="958"/>
      <c r="S47" s="958"/>
      <c r="T47" s="958"/>
      <c r="U47" s="958"/>
      <c r="V47" s="958"/>
    </row>
    <row r="48" spans="2:26" ht="17.399999999999999" x14ac:dyDescent="0.3">
      <c r="B48" s="958"/>
      <c r="C48" s="958"/>
      <c r="D48" s="958"/>
      <c r="E48" s="1416" t="s">
        <v>703</v>
      </c>
      <c r="F48" s="958"/>
      <c r="G48" s="958"/>
      <c r="H48" s="958"/>
      <c r="I48" s="958"/>
      <c r="J48" s="958"/>
      <c r="K48" s="958"/>
      <c r="L48" s="958"/>
      <c r="M48" s="958"/>
      <c r="N48" s="958"/>
      <c r="O48" s="958"/>
      <c r="P48" s="958"/>
      <c r="Q48" s="958"/>
      <c r="R48" s="958"/>
      <c r="S48" s="958"/>
      <c r="T48" s="1416"/>
      <c r="U48" s="958"/>
      <c r="V48" s="958"/>
    </row>
    <row r="49" spans="3:24" ht="18" thickBot="1" x14ac:dyDescent="0.35">
      <c r="E49" s="1416" t="s">
        <v>858</v>
      </c>
      <c r="F49" s="1482"/>
      <c r="G49" s="1482"/>
      <c r="H49" s="1482"/>
      <c r="I49" s="1482"/>
      <c r="J49" s="1482"/>
      <c r="K49" s="1482"/>
      <c r="L49" s="1482"/>
      <c r="M49" s="1416" t="s">
        <v>857</v>
      </c>
      <c r="N49" s="984"/>
      <c r="T49" s="1416"/>
      <c r="U49" s="984"/>
      <c r="V49" s="958"/>
      <c r="W49" s="958"/>
      <c r="X49" s="1416"/>
    </row>
    <row r="50" spans="3:24" ht="13.8" x14ac:dyDescent="0.3">
      <c r="C50" s="1039"/>
      <c r="E50" s="1484" t="s">
        <v>182</v>
      </c>
      <c r="F50" s="1485" t="s">
        <v>180</v>
      </c>
      <c r="G50" s="1485" t="s">
        <v>178</v>
      </c>
      <c r="H50" s="1485" t="s">
        <v>268</v>
      </c>
      <c r="I50" s="1485" t="s">
        <v>269</v>
      </c>
      <c r="J50" s="1486" t="s">
        <v>270</v>
      </c>
      <c r="K50" s="1485" t="s">
        <v>271</v>
      </c>
      <c r="L50" s="1485" t="s">
        <v>272</v>
      </c>
      <c r="M50" s="1485" t="s">
        <v>271</v>
      </c>
      <c r="N50" s="1485" t="s">
        <v>272</v>
      </c>
      <c r="O50" s="1485" t="s">
        <v>271</v>
      </c>
      <c r="P50" s="1485" t="s">
        <v>272</v>
      </c>
      <c r="Q50" s="1485" t="s">
        <v>271</v>
      </c>
      <c r="R50" s="1487" t="s">
        <v>272</v>
      </c>
    </row>
    <row r="51" spans="3:24" ht="30" customHeight="1" x14ac:dyDescent="0.3">
      <c r="C51" s="1039"/>
      <c r="E51" s="1821" t="s">
        <v>7</v>
      </c>
      <c r="F51" s="1822" t="s">
        <v>275</v>
      </c>
      <c r="G51" s="1823" t="s">
        <v>340</v>
      </c>
      <c r="H51" s="1823"/>
      <c r="I51" s="1823"/>
      <c r="J51" s="1824" t="s">
        <v>599</v>
      </c>
      <c r="K51" s="1825"/>
      <c r="L51" s="1828"/>
      <c r="M51" s="1823" t="s">
        <v>859</v>
      </c>
      <c r="N51" s="1823"/>
      <c r="O51" s="1823"/>
      <c r="P51" s="1824" t="s">
        <v>860</v>
      </c>
      <c r="Q51" s="1825"/>
      <c r="R51" s="1826"/>
    </row>
    <row r="52" spans="3:24" x14ac:dyDescent="0.3">
      <c r="C52" s="1039"/>
      <c r="E52" s="1821"/>
      <c r="F52" s="1822"/>
      <c r="G52" s="1402" t="s">
        <v>468</v>
      </c>
      <c r="H52" s="1402" t="s">
        <v>347</v>
      </c>
      <c r="I52" s="1402" t="s">
        <v>5</v>
      </c>
      <c r="J52" s="1402" t="s">
        <v>468</v>
      </c>
      <c r="K52" s="1402" t="s">
        <v>347</v>
      </c>
      <c r="L52" s="1402" t="s">
        <v>5</v>
      </c>
      <c r="M52" s="1402" t="s">
        <v>468</v>
      </c>
      <c r="N52" s="1402" t="s">
        <v>347</v>
      </c>
      <c r="O52" s="1402" t="s">
        <v>5</v>
      </c>
      <c r="P52" s="1402" t="s">
        <v>468</v>
      </c>
      <c r="Q52" s="1402" t="s">
        <v>347</v>
      </c>
      <c r="R52" s="1488" t="s">
        <v>5</v>
      </c>
    </row>
    <row r="53" spans="3:24" ht="13.8" x14ac:dyDescent="0.3">
      <c r="E53" s="1489">
        <v>4</v>
      </c>
      <c r="F53" s="988">
        <v>2023</v>
      </c>
      <c r="G53" s="989">
        <f t="array" ref="G53:G73">TRANSPOSE(E33:Y33)</f>
        <v>96283785.453163147</v>
      </c>
      <c r="H53" s="989">
        <f t="array" ref="H53:H73">TRANSPOSE(E39:Y39)</f>
        <v>-4195491.3216014355</v>
      </c>
      <c r="I53" s="1043">
        <f>SUM(G53:H53)</f>
        <v>92088294.131561711</v>
      </c>
      <c r="J53" s="989">
        <f t="array" ref="J53:J73">TRANSPOSE(E34:Y34)</f>
        <v>134205.09587441088</v>
      </c>
      <c r="K53" s="989">
        <f t="array" ref="K53:K73">TRANSPOSE(E40:Y40)</f>
        <v>-1061390.7700205259</v>
      </c>
      <c r="L53" s="991">
        <f>SUM(J53:K53)</f>
        <v>-927185.67414611508</v>
      </c>
      <c r="M53" s="989">
        <f t="array" ref="M53:M73">TRANSPOSE(E31:Y31)</f>
        <v>614040720.01163816</v>
      </c>
      <c r="N53" s="989">
        <f t="array" ref="N53:N73">TRANSPOSE(E37:Y37)</f>
        <v>47512403.086307317</v>
      </c>
      <c r="O53" s="989">
        <f t="array" ref="O53:O73">TRANSPOSE(E42:Y42)</f>
        <v>661553123.09794545</v>
      </c>
      <c r="P53" s="991">
        <f>M53*$D$6</f>
        <v>855880.28464087436</v>
      </c>
      <c r="Q53" s="991">
        <f>N53*$D$7</f>
        <v>12019861.854475794</v>
      </c>
      <c r="R53" s="1479">
        <f>P53+Q53</f>
        <v>12875742.139116669</v>
      </c>
    </row>
    <row r="54" spans="3:24" ht="13.8" x14ac:dyDescent="0.3">
      <c r="E54" s="1489">
        <v>5</v>
      </c>
      <c r="F54" s="988">
        <f>F53+1</f>
        <v>2024</v>
      </c>
      <c r="G54" s="989">
        <v>98314044.267240763</v>
      </c>
      <c r="H54" s="989">
        <v>-3533370.8822616115</v>
      </c>
      <c r="I54" s="1043">
        <f t="shared" ref="I54:I73" si="17">SUM(G54:H54)</f>
        <v>94780673.384979159</v>
      </c>
      <c r="J54" s="989">
        <v>137034.97088930302</v>
      </c>
      <c r="K54" s="989">
        <v>-893885.1147617813</v>
      </c>
      <c r="L54" s="991">
        <f t="shared" ref="L54:L72" si="18">SUM(J54:K54)</f>
        <v>-756850.14387247828</v>
      </c>
      <c r="M54" s="989">
        <v>617835397.90280497</v>
      </c>
      <c r="N54" s="989">
        <v>47823729.657975234</v>
      </c>
      <c r="O54" s="989">
        <v>665659127.56078017</v>
      </c>
      <c r="P54" s="991">
        <f t="shared" ref="P54:P73" si="19">M54*$D$6</f>
        <v>861169.49411471956</v>
      </c>
      <c r="Q54" s="991">
        <f t="shared" ref="Q54:Q73" si="20">N54*$D$7</f>
        <v>12098622.391514476</v>
      </c>
      <c r="R54" s="1479">
        <f t="shared" ref="R54:R73" si="21">P54+Q54</f>
        <v>12959791.885629196</v>
      </c>
    </row>
    <row r="55" spans="3:24" ht="13.8" x14ac:dyDescent="0.3">
      <c r="E55" s="1489">
        <v>6</v>
      </c>
      <c r="F55" s="988">
        <f t="shared" ref="F55:F73" si="22">F54+1</f>
        <v>2025</v>
      </c>
      <c r="G55" s="989">
        <v>100370007.93898177</v>
      </c>
      <c r="H55" s="989">
        <v>-2851414.4591918364</v>
      </c>
      <c r="I55" s="1043">
        <f t="shared" si="17"/>
        <v>97518593.479789943</v>
      </c>
      <c r="J55" s="989">
        <v>139900.67460443731</v>
      </c>
      <c r="K55" s="989">
        <v>-721361.27964485239</v>
      </c>
      <c r="L55" s="991">
        <f t="shared" si="18"/>
        <v>-581460.60504041507</v>
      </c>
      <c r="M55" s="989">
        <v>621660812.52363086</v>
      </c>
      <c r="N55" s="989">
        <v>48137096.207163334</v>
      </c>
      <c r="O55" s="989">
        <v>669797908.73079419</v>
      </c>
      <c r="P55" s="991">
        <f t="shared" si="19"/>
        <v>866501.54596053157</v>
      </c>
      <c r="Q55" s="991">
        <f t="shared" si="20"/>
        <v>12177899.009542249</v>
      </c>
      <c r="R55" s="1479">
        <f t="shared" si="21"/>
        <v>13044400.55550278</v>
      </c>
    </row>
    <row r="56" spans="3:24" ht="13.8" x14ac:dyDescent="0.3">
      <c r="E56" s="1489">
        <v>7</v>
      </c>
      <c r="F56" s="988">
        <f t="shared" si="22"/>
        <v>2026</v>
      </c>
      <c r="G56" s="989">
        <v>102451996.80858016</v>
      </c>
      <c r="H56" s="989">
        <v>-2149143.8079778105</v>
      </c>
      <c r="I56" s="1043">
        <f t="shared" si="17"/>
        <v>100302853.00060235</v>
      </c>
      <c r="J56" s="989">
        <v>142802.653525798</v>
      </c>
      <c r="K56" s="989">
        <v>-543698.27664515714</v>
      </c>
      <c r="L56" s="991">
        <f t="shared" si="18"/>
        <v>-400895.62311935914</v>
      </c>
      <c r="M56" s="989">
        <v>625517220.59871364</v>
      </c>
      <c r="N56" s="989">
        <v>48452516.100890905</v>
      </c>
      <c r="O56" s="989">
        <v>673969736.69960451</v>
      </c>
      <c r="P56" s="991">
        <f t="shared" si="19"/>
        <v>871876.79801373533</v>
      </c>
      <c r="Q56" s="991">
        <f t="shared" si="20"/>
        <v>12257695.090196639</v>
      </c>
      <c r="R56" s="1479">
        <f t="shared" si="21"/>
        <v>13129571.888210375</v>
      </c>
    </row>
    <row r="57" spans="3:24" ht="13.8" x14ac:dyDescent="0.3">
      <c r="E57" s="1489">
        <v>8</v>
      </c>
      <c r="F57" s="988">
        <f t="shared" si="22"/>
        <v>2027</v>
      </c>
      <c r="G57" s="989">
        <v>104560335.05441999</v>
      </c>
      <c r="H57" s="989">
        <v>-1426069.7239675596</v>
      </c>
      <c r="I57" s="1043">
        <f t="shared" si="17"/>
        <v>103134265.33045244</v>
      </c>
      <c r="J57" s="989">
        <v>145741.35950922934</v>
      </c>
      <c r="K57" s="989">
        <v>-360772.34497702005</v>
      </c>
      <c r="L57" s="991">
        <f t="shared" si="18"/>
        <v>-215030.98546779071</v>
      </c>
      <c r="M57" s="989">
        <v>629404881.00325954</v>
      </c>
      <c r="N57" s="989">
        <v>48770002.793765053</v>
      </c>
      <c r="O57" s="989">
        <v>678174883.79702461</v>
      </c>
      <c r="P57" s="991">
        <f t="shared" si="19"/>
        <v>877295.61110737955</v>
      </c>
      <c r="Q57" s="991">
        <f t="shared" si="20"/>
        <v>12338014.037273459</v>
      </c>
      <c r="R57" s="1479">
        <f t="shared" si="21"/>
        <v>13215309.648380838</v>
      </c>
    </row>
    <row r="58" spans="3:24" ht="13.8" x14ac:dyDescent="0.3">
      <c r="E58" s="1489">
        <v>9</v>
      </c>
      <c r="F58" s="988">
        <f t="shared" si="22"/>
        <v>2028</v>
      </c>
      <c r="G58" s="989">
        <v>106695350.73745692</v>
      </c>
      <c r="H58" s="989">
        <v>-681691.79457117617</v>
      </c>
      <c r="I58" s="1043">
        <f t="shared" si="17"/>
        <v>106013658.94288574</v>
      </c>
      <c r="J58" s="989">
        <v>148717.24982229469</v>
      </c>
      <c r="K58" s="989">
        <v>-172456.88842955255</v>
      </c>
      <c r="L58" s="991">
        <f t="shared" si="18"/>
        <v>-23739.638607257861</v>
      </c>
      <c r="M58" s="989">
        <v>633324054.78110492</v>
      </c>
      <c r="N58" s="989">
        <v>49089569.8285546</v>
      </c>
      <c r="O58" s="989">
        <v>682413624.60965955</v>
      </c>
      <c r="P58" s="991">
        <f t="shared" si="19"/>
        <v>882758.34909725713</v>
      </c>
      <c r="Q58" s="991">
        <f t="shared" si="20"/>
        <v>12418859.276871996</v>
      </c>
      <c r="R58" s="1479">
        <f t="shared" si="21"/>
        <v>13301617.625969253</v>
      </c>
    </row>
    <row r="59" spans="3:24" ht="13.8" x14ac:dyDescent="0.3">
      <c r="E59" s="1489">
        <v>10</v>
      </c>
      <c r="F59" s="988">
        <f t="shared" si="22"/>
        <v>2029</v>
      </c>
      <c r="G59" s="989">
        <v>108857375.84609437</v>
      </c>
      <c r="H59" s="989">
        <v>84501.854015059769</v>
      </c>
      <c r="I59" s="1043">
        <f t="shared" si="17"/>
        <v>108941877.70010942</v>
      </c>
      <c r="J59" s="989">
        <v>151730.78720682906</v>
      </c>
      <c r="K59" s="989">
        <v>21377.588708006555</v>
      </c>
      <c r="L59" s="991">
        <f t="shared" si="18"/>
        <v>173108.3759148356</v>
      </c>
      <c r="M59" s="989">
        <v>637275005.16288865</v>
      </c>
      <c r="N59" s="989">
        <v>49411230.836767867</v>
      </c>
      <c r="O59" s="989">
        <v>686686235.99965656</v>
      </c>
      <c r="P59" s="991">
        <f t="shared" si="19"/>
        <v>888265.37888723414</v>
      </c>
      <c r="Q59" s="991">
        <f t="shared" si="20"/>
        <v>12500234.257541183</v>
      </c>
      <c r="R59" s="1479">
        <f t="shared" si="21"/>
        <v>13388499.636428418</v>
      </c>
    </row>
    <row r="60" spans="3:24" ht="13.8" x14ac:dyDescent="0.3">
      <c r="E60" s="1489">
        <v>11</v>
      </c>
      <c r="F60" s="988">
        <f t="shared" si="22"/>
        <v>2030</v>
      </c>
      <c r="G60" s="989">
        <v>111046746.34157109</v>
      </c>
      <c r="H60" s="989">
        <v>873034.81578569859</v>
      </c>
      <c r="I60" s="1043">
        <f t="shared" si="17"/>
        <v>111919781.1573568</v>
      </c>
      <c r="J60" s="989">
        <v>154782.43994220029</v>
      </c>
      <c r="K60" s="989">
        <v>220863.54716324664</v>
      </c>
      <c r="L60" s="991">
        <f t="shared" si="18"/>
        <v>375645.98710544693</v>
      </c>
      <c r="M60" s="989">
        <v>641257997.58437586</v>
      </c>
      <c r="N60" s="989">
        <v>49734999.539234027</v>
      </c>
      <c r="O60" s="989">
        <v>690992997.1236099</v>
      </c>
      <c r="P60" s="991">
        <f t="shared" si="19"/>
        <v>893817.07045479061</v>
      </c>
      <c r="Q60" s="991">
        <f t="shared" si="20"/>
        <v>12582142.450426668</v>
      </c>
      <c r="R60" s="1479">
        <f t="shared" si="21"/>
        <v>13475959.520881459</v>
      </c>
    </row>
    <row r="61" spans="3:24" ht="13.8" x14ac:dyDescent="0.3">
      <c r="E61" s="1489">
        <v>12</v>
      </c>
      <c r="F61" s="988">
        <f t="shared" si="22"/>
        <v>2031</v>
      </c>
      <c r="G61" s="989">
        <v>113263802.20385325</v>
      </c>
      <c r="H61" s="989">
        <v>1684442.6697321311</v>
      </c>
      <c r="I61" s="1043">
        <f t="shared" si="17"/>
        <v>114948244.87358537</v>
      </c>
      <c r="J61" s="989">
        <v>157872.68190927836</v>
      </c>
      <c r="K61" s="989">
        <v>426136.47967217979</v>
      </c>
      <c r="L61" s="991">
        <f t="shared" si="18"/>
        <v>584009.16158145817</v>
      </c>
      <c r="M61" s="989">
        <v>645273299.70493734</v>
      </c>
      <c r="N61" s="989">
        <v>50060889.746688448</v>
      </c>
      <c r="O61" s="989">
        <v>695334189.45162582</v>
      </c>
      <c r="P61" s="991">
        <f t="shared" si="19"/>
        <v>899413.79687677789</v>
      </c>
      <c r="Q61" s="991">
        <f t="shared" si="20"/>
        <v>12664587.349418895</v>
      </c>
      <c r="R61" s="1479">
        <f t="shared" si="21"/>
        <v>13564001.146295674</v>
      </c>
    </row>
    <row r="62" spans="3:24" ht="13.8" x14ac:dyDescent="0.3">
      <c r="E62" s="1489">
        <v>13</v>
      </c>
      <c r="F62" s="988">
        <f t="shared" si="22"/>
        <v>2032</v>
      </c>
      <c r="G62" s="989">
        <v>115508887.47804916</v>
      </c>
      <c r="H62" s="989">
        <v>2519273.2506088242</v>
      </c>
      <c r="I62" s="1043">
        <f t="shared" si="17"/>
        <v>118028160.72865799</v>
      </c>
      <c r="J62" s="989">
        <v>161001.99265512807</v>
      </c>
      <c r="K62" s="989">
        <v>637334.97947867576</v>
      </c>
      <c r="L62" s="991">
        <f t="shared" si="18"/>
        <v>798336.97213380388</v>
      </c>
      <c r="M62" s="989">
        <v>649321181.42618167</v>
      </c>
      <c r="N62" s="989">
        <v>50388915.360361814</v>
      </c>
      <c r="O62" s="989">
        <v>699710096.78654349</v>
      </c>
      <c r="P62" s="991">
        <f t="shared" si="19"/>
        <v>905055.93435538933</v>
      </c>
      <c r="Q62" s="991">
        <f t="shared" si="20"/>
        <v>12747572.471302148</v>
      </c>
      <c r="R62" s="1479">
        <f t="shared" si="21"/>
        <v>13652628.405657537</v>
      </c>
    </row>
    <row r="63" spans="3:24" ht="13.8" x14ac:dyDescent="0.3">
      <c r="E63" s="1489">
        <v>14</v>
      </c>
      <c r="F63" s="988">
        <f t="shared" si="22"/>
        <v>2033</v>
      </c>
      <c r="G63" s="989">
        <v>117782350.32134128</v>
      </c>
      <c r="H63" s="989">
        <v>3378086.9257939979</v>
      </c>
      <c r="I63" s="1043">
        <f t="shared" si="17"/>
        <v>121160437.24713528</v>
      </c>
      <c r="J63" s="989">
        <v>164170.85745842737</v>
      </c>
      <c r="K63" s="989">
        <v>854600.81037569023</v>
      </c>
      <c r="L63" s="991">
        <f t="shared" si="18"/>
        <v>1018771.6678341175</v>
      </c>
      <c r="M63" s="989">
        <v>653401914.91074479</v>
      </c>
      <c r="N63" s="989">
        <v>50719090.37257304</v>
      </c>
      <c r="O63" s="989">
        <v>704121005.2833178</v>
      </c>
      <c r="P63" s="991">
        <f t="shared" si="19"/>
        <v>910743.86224434956</v>
      </c>
      <c r="Q63" s="991">
        <f t="shared" si="20"/>
        <v>12831101.355904547</v>
      </c>
      <c r="R63" s="1479">
        <f t="shared" si="21"/>
        <v>13741845.218148896</v>
      </c>
    </row>
    <row r="64" spans="3:24" ht="13.8" x14ac:dyDescent="0.3">
      <c r="E64" s="1489">
        <v>15</v>
      </c>
      <c r="F64" s="988">
        <f t="shared" si="22"/>
        <v>2034</v>
      </c>
      <c r="G64" s="989">
        <v>120084543.0504508</v>
      </c>
      <c r="H64" s="989">
        <v>4261456.8783812448</v>
      </c>
      <c r="I64" s="1043">
        <f t="shared" si="17"/>
        <v>124345999.92883205</v>
      </c>
      <c r="J64" s="989">
        <v>167379.76739562326</v>
      </c>
      <c r="K64" s="989">
        <v>1078078.9783228205</v>
      </c>
      <c r="L64" s="991">
        <f t="shared" si="18"/>
        <v>1245458.7457184438</v>
      </c>
      <c r="M64" s="989">
        <v>657515774.6012361</v>
      </c>
      <c r="N64" s="989">
        <v>51051428.867326185</v>
      </c>
      <c r="O64" s="989">
        <v>708567203.46856225</v>
      </c>
      <c r="P64" s="991">
        <f t="shared" si="19"/>
        <v>916477.96307532315</v>
      </c>
      <c r="Q64" s="991">
        <f t="shared" si="20"/>
        <v>12915177.56624905</v>
      </c>
      <c r="R64" s="1479">
        <f t="shared" si="21"/>
        <v>13831655.529324373</v>
      </c>
    </row>
    <row r="65" spans="5:18" ht="13.8" x14ac:dyDescent="0.3">
      <c r="E65" s="1489">
        <v>16</v>
      </c>
      <c r="F65" s="988">
        <f t="shared" si="22"/>
        <v>2035</v>
      </c>
      <c r="G65" s="989">
        <v>122415822.18963146</v>
      </c>
      <c r="H65" s="989">
        <v>5169969.3966426849</v>
      </c>
      <c r="I65" s="1043">
        <f t="shared" si="17"/>
        <v>127585791.58627415</v>
      </c>
      <c r="J65" s="989">
        <v>170629.21940783123</v>
      </c>
      <c r="K65" s="989">
        <v>1307917.8046757553</v>
      </c>
      <c r="L65" s="991">
        <f t="shared" si="18"/>
        <v>1478547.0240835866</v>
      </c>
      <c r="M65" s="989">
        <v>661663037.23934495</v>
      </c>
      <c r="N65" s="989">
        <v>51385945.020911202</v>
      </c>
      <c r="O65" s="989">
        <v>713048982.26025617</v>
      </c>
      <c r="P65" s="991">
        <f t="shared" si="19"/>
        <v>922258.62258454552</v>
      </c>
      <c r="Q65" s="991">
        <f t="shared" si="20"/>
        <v>12999804.688705444</v>
      </c>
      <c r="R65" s="1479">
        <f t="shared" si="21"/>
        <v>13922063.31128999</v>
      </c>
    </row>
    <row r="66" spans="5:18" ht="13.8" x14ac:dyDescent="0.3">
      <c r="E66" s="1489">
        <v>17</v>
      </c>
      <c r="F66" s="988">
        <f t="shared" si="22"/>
        <v>2036</v>
      </c>
      <c r="G66" s="989">
        <v>124776548.51920784</v>
      </c>
      <c r="H66" s="989">
        <v>6104224.1700065136</v>
      </c>
      <c r="I66" s="1043">
        <f t="shared" si="17"/>
        <v>130880772.68921435</v>
      </c>
      <c r="J66" s="989">
        <v>173919.71636848664</v>
      </c>
      <c r="K66" s="989">
        <v>1544269.001063759</v>
      </c>
      <c r="L66" s="991">
        <f t="shared" si="18"/>
        <v>1718188.7174322456</v>
      </c>
      <c r="M66" s="989">
        <v>665843981.88510478</v>
      </c>
      <c r="N66" s="989">
        <v>51722653.102508679</v>
      </c>
      <c r="O66" s="989">
        <v>717566634.98761344</v>
      </c>
      <c r="P66" s="991">
        <f t="shared" si="19"/>
        <v>928086.22973967507</v>
      </c>
      <c r="Q66" s="991">
        <f t="shared" si="20"/>
        <v>13084986.333143329</v>
      </c>
      <c r="R66" s="1479">
        <f t="shared" si="21"/>
        <v>14013072.562883005</v>
      </c>
    </row>
    <row r="67" spans="5:18" ht="13.8" x14ac:dyDescent="0.3">
      <c r="E67" s="1489">
        <v>18</v>
      </c>
      <c r="F67" s="988">
        <f t="shared" si="22"/>
        <v>2037</v>
      </c>
      <c r="G67" s="989">
        <v>127167087.1246556</v>
      </c>
      <c r="H67" s="989">
        <v>7064834.5916959047</v>
      </c>
      <c r="I67" s="1043">
        <f t="shared" si="17"/>
        <v>134231921.71635151</v>
      </c>
      <c r="J67" s="989">
        <v>177251.76715175877</v>
      </c>
      <c r="K67" s="989">
        <v>1787287.745952371</v>
      </c>
      <c r="L67" s="991">
        <f t="shared" si="18"/>
        <v>1964539.5131041298</v>
      </c>
      <c r="M67" s="989">
        <v>670058889.9363209</v>
      </c>
      <c r="N67" s="989">
        <v>52061567.474798411</v>
      </c>
      <c r="O67" s="989">
        <v>722120457.41111934</v>
      </c>
      <c r="P67" s="991">
        <f t="shared" si="19"/>
        <v>933961.17676687147</v>
      </c>
      <c r="Q67" s="991">
        <f t="shared" si="20"/>
        <v>13170726.133086072</v>
      </c>
      <c r="R67" s="1479">
        <f t="shared" si="21"/>
        <v>14104687.309852943</v>
      </c>
    </row>
    <row r="68" spans="5:18" ht="13.8" x14ac:dyDescent="0.3">
      <c r="E68" s="1489">
        <v>19</v>
      </c>
      <c r="F68" s="988">
        <f t="shared" si="22"/>
        <v>2038</v>
      </c>
      <c r="G68" s="989">
        <v>129587807.44623697</v>
      </c>
      <c r="H68" s="989">
        <v>8052428.0681783408</v>
      </c>
      <c r="I68" s="1043">
        <f t="shared" si="17"/>
        <v>137640235.51441532</v>
      </c>
      <c r="J68" s="989">
        <v>180625.88670173191</v>
      </c>
      <c r="K68" s="989">
        <v>2037132.7629290312</v>
      </c>
      <c r="L68" s="991">
        <f t="shared" si="18"/>
        <v>2217758.6496307631</v>
      </c>
      <c r="M68" s="989">
        <v>674308045.1481595</v>
      </c>
      <c r="N68" s="989">
        <v>52402702.594572172</v>
      </c>
      <c r="O68" s="989">
        <v>726710747.74273169</v>
      </c>
      <c r="P68" s="991">
        <f t="shared" si="19"/>
        <v>939883.85917810106</v>
      </c>
      <c r="Q68" s="991">
        <f t="shared" si="20"/>
        <v>13257027.745865839</v>
      </c>
      <c r="R68" s="1479">
        <f t="shared" si="21"/>
        <v>14196911.60504394</v>
      </c>
    </row>
    <row r="69" spans="5:18" ht="13.8" x14ac:dyDescent="0.3">
      <c r="E69" s="1489">
        <v>20</v>
      </c>
      <c r="F69" s="988">
        <f t="shared" si="22"/>
        <v>2039</v>
      </c>
      <c r="G69" s="989">
        <v>132039083.32918954</v>
      </c>
      <c r="H69" s="989">
        <v>9067646.3355790675</v>
      </c>
      <c r="I69" s="1043">
        <f t="shared" si="17"/>
        <v>141106729.66476861</v>
      </c>
      <c r="J69" s="989">
        <v>184042.59610236448</v>
      </c>
      <c r="K69" s="989">
        <v>2293966.4007505151</v>
      </c>
      <c r="L69" s="991">
        <f t="shared" si="18"/>
        <v>2478008.9968528794</v>
      </c>
      <c r="M69" s="989">
        <v>678591733.65290332</v>
      </c>
      <c r="N69" s="989">
        <v>52746073.013350315</v>
      </c>
      <c r="O69" s="989">
        <v>731337806.66625369</v>
      </c>
      <c r="P69" s="991">
        <f t="shared" si="19"/>
        <v>945854.67579867225</v>
      </c>
      <c r="Q69" s="991">
        <f t="shared" si="20"/>
        <v>13343894.852779575</v>
      </c>
      <c r="R69" s="1479">
        <f t="shared" si="21"/>
        <v>14289749.528578248</v>
      </c>
    </row>
    <row r="70" spans="5:18" ht="13.8" x14ac:dyDescent="0.3">
      <c r="E70" s="1489">
        <v>21</v>
      </c>
      <c r="F70" s="988">
        <f t="shared" si="22"/>
        <v>2040</v>
      </c>
      <c r="G70" s="989">
        <v>134521293.0744853</v>
      </c>
      <c r="H70" s="989">
        <v>10111145.783214927</v>
      </c>
      <c r="I70" s="1043">
        <f t="shared" si="17"/>
        <v>144632438.85770023</v>
      </c>
      <c r="J70" s="989">
        <v>187502.42264823546</v>
      </c>
      <c r="K70" s="989">
        <v>2557954.7151917084</v>
      </c>
      <c r="L70" s="991">
        <f t="shared" si="18"/>
        <v>2745457.1378399441</v>
      </c>
      <c r="M70" s="989">
        <v>682910243.97986865</v>
      </c>
      <c r="N70" s="989">
        <v>53091693.378002509</v>
      </c>
      <c r="O70" s="989">
        <v>736001937.35787117</v>
      </c>
      <c r="P70" s="991">
        <f t="shared" si="19"/>
        <v>951874.02879499726</v>
      </c>
      <c r="Q70" s="991">
        <f t="shared" si="20"/>
        <v>13431331.159246046</v>
      </c>
      <c r="R70" s="1479">
        <f t="shared" si="21"/>
        <v>14383205.188041043</v>
      </c>
    </row>
    <row r="71" spans="5:18" ht="13.8" x14ac:dyDescent="0.3">
      <c r="E71" s="1489">
        <v>22</v>
      </c>
      <c r="F71" s="988">
        <f t="shared" si="22"/>
        <v>2041</v>
      </c>
      <c r="G71" s="989">
        <v>137034819.49015367</v>
      </c>
      <c r="H71" s="989">
        <v>11183597.784408897</v>
      </c>
      <c r="I71" s="1043">
        <f t="shared" si="17"/>
        <v>148218417.27456257</v>
      </c>
      <c r="J71" s="989">
        <v>191005.89991608466</v>
      </c>
      <c r="K71" s="989">
        <v>2829267.5527362828</v>
      </c>
      <c r="L71" s="991">
        <f t="shared" si="18"/>
        <v>3020273.4526523673</v>
      </c>
      <c r="M71" s="989">
        <v>687263867.07549322</v>
      </c>
      <c r="N71" s="989">
        <v>53439578.431372523</v>
      </c>
      <c r="O71" s="989">
        <v>740703445.50686574</v>
      </c>
      <c r="P71" s="991">
        <f t="shared" si="19"/>
        <v>957942.3237025917</v>
      </c>
      <c r="Q71" s="991">
        <f t="shared" si="20"/>
        <v>13519340.3949639</v>
      </c>
      <c r="R71" s="1479">
        <f t="shared" si="21"/>
        <v>14477282.718666492</v>
      </c>
    </row>
    <row r="72" spans="5:18" ht="13.8" x14ac:dyDescent="0.3">
      <c r="E72" s="1489">
        <v>23</v>
      </c>
      <c r="F72" s="988">
        <f t="shared" si="22"/>
        <v>2042</v>
      </c>
      <c r="G72" s="989">
        <v>139580049.94318545</v>
      </c>
      <c r="H72" s="989">
        <v>12285689.034748659</v>
      </c>
      <c r="I72" s="1043">
        <f t="shared" si="17"/>
        <v>151865738.97793412</v>
      </c>
      <c r="J72" s="989">
        <v>194553.56783715711</v>
      </c>
      <c r="K72" s="989">
        <v>3108078.636150586</v>
      </c>
      <c r="L72" s="991">
        <f t="shared" si="18"/>
        <v>3302632.2039877432</v>
      </c>
      <c r="M72" s="989">
        <v>691652896.32359087</v>
      </c>
      <c r="N72" s="989">
        <v>53789743.012907073</v>
      </c>
      <c r="O72" s="989">
        <v>745442639.3364979</v>
      </c>
      <c r="P72" s="991">
        <f t="shared" si="19"/>
        <v>964059.96945430629</v>
      </c>
      <c r="Q72" s="991">
        <f t="shared" si="20"/>
        <v>13607926.314070748</v>
      </c>
      <c r="R72" s="1479">
        <f t="shared" si="21"/>
        <v>14571986.283525055</v>
      </c>
    </row>
    <row r="73" spans="5:18" ht="13.8" x14ac:dyDescent="0.3">
      <c r="E73" s="1489">
        <v>24</v>
      </c>
      <c r="F73" s="988">
        <f t="shared" si="22"/>
        <v>2043</v>
      </c>
      <c r="G73" s="989">
        <v>142157376.41201806</v>
      </c>
      <c r="H73" s="989">
        <v>13418121.8979569</v>
      </c>
      <c r="I73" s="1043">
        <f t="shared" si="17"/>
        <v>155575498.30997497</v>
      </c>
      <c r="J73" s="989">
        <v>198145.97277035937</v>
      </c>
      <c r="K73" s="989">
        <v>3394565.651983181</v>
      </c>
      <c r="L73" s="991">
        <f>SUM(J73:K73)</f>
        <v>3592711.6247535404</v>
      </c>
      <c r="M73" s="989">
        <v>696077627.56577539</v>
      </c>
      <c r="N73" s="989">
        <v>54142202.059288852</v>
      </c>
      <c r="O73" s="989">
        <v>750219829.62506425</v>
      </c>
      <c r="P73" s="991">
        <f t="shared" si="19"/>
        <v>970227.37840879464</v>
      </c>
      <c r="Q73" s="991">
        <f t="shared" si="20"/>
        <v>13697092.695303321</v>
      </c>
      <c r="R73" s="1479">
        <f t="shared" si="21"/>
        <v>14667320.073712116</v>
      </c>
    </row>
    <row r="74" spans="5:18" ht="14.4" thickBot="1" x14ac:dyDescent="0.35">
      <c r="E74" s="1490" t="s">
        <v>314</v>
      </c>
      <c r="F74" s="1491"/>
      <c r="G74" s="1057">
        <f t="shared" ref="G74:R74" si="23">SUM(G53:G73)</f>
        <v>2484499113.0299664</v>
      </c>
      <c r="H74" s="1057">
        <f t="shared" si="23"/>
        <v>80421271.467177421</v>
      </c>
      <c r="I74" s="1057">
        <f t="shared" si="23"/>
        <v>2564920384.4971442</v>
      </c>
      <c r="J74" s="1492">
        <f t="shared" si="23"/>
        <v>3463017.5796969691</v>
      </c>
      <c r="K74" s="1492">
        <f t="shared" si="23"/>
        <v>20345267.980674922</v>
      </c>
      <c r="L74" s="1492">
        <f t="shared" si="23"/>
        <v>23808285.560371891</v>
      </c>
      <c r="M74" s="1057">
        <f t="shared" si="23"/>
        <v>13734198583.018076</v>
      </c>
      <c r="N74" s="1057">
        <f t="shared" si="23"/>
        <v>1065934030.4853195</v>
      </c>
      <c r="O74" s="1057">
        <f t="shared" si="23"/>
        <v>14800132613.503401</v>
      </c>
      <c r="P74" s="1492">
        <f t="shared" si="23"/>
        <v>19143404.353256915</v>
      </c>
      <c r="Q74" s="1492">
        <f t="shared" si="23"/>
        <v>269663897.42788136</v>
      </c>
      <c r="R74" s="1493">
        <f t="shared" si="23"/>
        <v>288807301.78113836</v>
      </c>
    </row>
    <row r="75" spans="5:18" ht="17.399999999999999" x14ac:dyDescent="0.3">
      <c r="E75" s="995" t="s">
        <v>338</v>
      </c>
      <c r="M75" s="1827" t="s">
        <v>904</v>
      </c>
      <c r="N75" s="1827"/>
      <c r="O75" s="993">
        <f>O73-O53</f>
        <v>88666706.527118802</v>
      </c>
      <c r="P75" s="1827" t="s">
        <v>904</v>
      </c>
      <c r="Q75" s="1827"/>
      <c r="R75" s="1483">
        <f>R73-R53</f>
        <v>1791577.934595447</v>
      </c>
    </row>
    <row r="76" spans="5:18" ht="13.8" x14ac:dyDescent="0.3">
      <c r="G76" s="715"/>
      <c r="H76" s="715"/>
      <c r="I76" s="715"/>
      <c r="J76" s="715"/>
      <c r="K76" s="715"/>
      <c r="L76" s="715"/>
      <c r="M76" s="1794" t="s">
        <v>866</v>
      </c>
      <c r="N76" s="1794"/>
      <c r="O76" s="993">
        <f>O75/21</f>
        <v>4222224.1203389904</v>
      </c>
      <c r="P76" s="1794" t="s">
        <v>866</v>
      </c>
      <c r="Q76" s="1794"/>
      <c r="R76" s="1548">
        <f>R75/21</f>
        <v>85313.234980735579</v>
      </c>
    </row>
    <row r="77" spans="5:18" x14ac:dyDescent="0.3">
      <c r="G77" s="715"/>
      <c r="H77" s="715"/>
      <c r="I77" s="715"/>
      <c r="J77" s="715"/>
      <c r="K77" s="715"/>
      <c r="L77" s="715"/>
      <c r="O77" s="1044"/>
      <c r="P77" s="1044"/>
      <c r="Q77" s="1044"/>
      <c r="R77" s="1044"/>
    </row>
    <row r="78" spans="5:18" x14ac:dyDescent="0.3">
      <c r="G78" s="1044"/>
      <c r="H78" s="1044"/>
      <c r="I78" s="1044"/>
      <c r="J78" s="1044"/>
      <c r="K78" s="1044"/>
      <c r="L78" s="1044"/>
      <c r="M78" s="1045"/>
    </row>
  </sheetData>
  <mergeCells count="13">
    <mergeCell ref="P75:Q75"/>
    <mergeCell ref="P76:Q76"/>
    <mergeCell ref="G51:I51"/>
    <mergeCell ref="J51:L51"/>
    <mergeCell ref="J5:L5"/>
    <mergeCell ref="M75:N75"/>
    <mergeCell ref="M76:N76"/>
    <mergeCell ref="B8:C8"/>
    <mergeCell ref="E10:Y10"/>
    <mergeCell ref="E51:E52"/>
    <mergeCell ref="F51:F52"/>
    <mergeCell ref="M51:O51"/>
    <mergeCell ref="P51:R5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AF114"/>
  <sheetViews>
    <sheetView topLeftCell="A31" zoomScale="70" zoomScaleNormal="70" workbookViewId="0">
      <selection activeCell="O90" sqref="O90"/>
    </sheetView>
  </sheetViews>
  <sheetFormatPr defaultColWidth="9.109375" defaultRowHeight="13.2" x14ac:dyDescent="0.3"/>
  <cols>
    <col min="1" max="1" width="3.5546875" style="424" customWidth="1"/>
    <col min="2" max="2" width="48" style="424" customWidth="1"/>
    <col min="3" max="3" width="20.109375" style="424" customWidth="1"/>
    <col min="4" max="4" width="15.33203125" style="424" customWidth="1"/>
    <col min="5" max="5" width="12.88671875" style="424" customWidth="1"/>
    <col min="6" max="6" width="17.109375" style="424" customWidth="1"/>
    <col min="7" max="7" width="19.44140625" style="424" customWidth="1"/>
    <col min="8" max="8" width="16.109375" style="424" customWidth="1"/>
    <col min="9" max="9" width="17.6640625" style="424" customWidth="1"/>
    <col min="10" max="10" width="17.88671875" style="424" customWidth="1"/>
    <col min="11" max="11" width="13.88671875" style="424" customWidth="1"/>
    <col min="12" max="12" width="15" style="424" bestFit="1" customWidth="1"/>
    <col min="13" max="13" width="12.88671875" style="424" customWidth="1"/>
    <col min="14" max="14" width="13.109375" style="424" customWidth="1"/>
    <col min="15" max="15" width="14.109375" style="424" customWidth="1"/>
    <col min="16" max="16" width="15.6640625" style="424" bestFit="1" customWidth="1"/>
    <col min="17" max="17" width="14.109375" style="424" customWidth="1"/>
    <col min="18" max="18" width="19" style="424" customWidth="1"/>
    <col min="19" max="21" width="14.109375" style="424" customWidth="1"/>
    <col min="22" max="22" width="17.33203125" style="424" customWidth="1"/>
    <col min="23" max="24" width="17.6640625" style="424" bestFit="1" customWidth="1"/>
    <col min="25" max="25" width="17" style="424" customWidth="1"/>
    <col min="26" max="26" width="15.109375" style="424" customWidth="1"/>
    <col min="27" max="27" width="18.44140625" style="424" customWidth="1"/>
    <col min="28" max="28" width="13.44140625" style="424" customWidth="1"/>
    <col min="29" max="29" width="12.33203125" style="424" customWidth="1"/>
    <col min="30" max="30" width="16.5546875" style="424" bestFit="1" customWidth="1"/>
    <col min="31" max="31" width="14" style="424" customWidth="1"/>
    <col min="32" max="32" width="13" style="424" customWidth="1"/>
    <col min="33" max="33" width="12.109375" style="424" customWidth="1"/>
    <col min="34" max="16384" width="9.109375" style="424"/>
  </cols>
  <sheetData>
    <row r="2" spans="2:32" ht="20.25" x14ac:dyDescent="0.25">
      <c r="B2" s="946" t="s">
        <v>713</v>
      </c>
    </row>
    <row r="3" spans="2:32" ht="20.25" x14ac:dyDescent="0.25">
      <c r="B3" s="946" t="s">
        <v>714</v>
      </c>
    </row>
    <row r="4" spans="2:32" ht="12.75" x14ac:dyDescent="0.25">
      <c r="F4" s="1834" t="s">
        <v>1033</v>
      </c>
      <c r="G4" s="1834"/>
      <c r="I4" s="1834" t="s">
        <v>1032</v>
      </c>
      <c r="J4" s="1834"/>
    </row>
    <row r="5" spans="2:32" ht="30" customHeight="1" x14ac:dyDescent="0.25">
      <c r="B5" s="1019" t="s">
        <v>397</v>
      </c>
      <c r="C5" s="986" t="s">
        <v>91</v>
      </c>
      <c r="D5" s="986" t="s">
        <v>635</v>
      </c>
      <c r="E5" s="1042"/>
      <c r="F5" s="1705" t="s">
        <v>1030</v>
      </c>
      <c r="G5" s="1705" t="s">
        <v>1031</v>
      </c>
      <c r="H5" s="1026"/>
      <c r="I5" s="1705" t="s">
        <v>91</v>
      </c>
      <c r="J5" s="1705" t="s">
        <v>635</v>
      </c>
      <c r="K5" s="1046"/>
      <c r="L5" s="1046"/>
    </row>
    <row r="6" spans="2:32" ht="15" customHeight="1" x14ac:dyDescent="0.25">
      <c r="B6" s="698" t="s">
        <v>394</v>
      </c>
      <c r="C6" s="1047">
        <f>IF(BCA!$I$19=BCA!$I$16,F6,I6)</f>
        <v>1.39</v>
      </c>
      <c r="D6" s="1048">
        <f>IF(BCA!$I$19=BCA!$I$16,G6,J6)</f>
        <v>14.1</v>
      </c>
      <c r="E6" s="1026"/>
      <c r="F6" s="1047">
        <v>1.39</v>
      </c>
      <c r="G6" s="1048">
        <v>14.1</v>
      </c>
      <c r="H6" s="1026"/>
      <c r="I6" s="1047">
        <f>VMT.VHT.ADT.Change!O26</f>
        <v>1.1452991452991452</v>
      </c>
      <c r="J6" s="1048">
        <f>Rates!E24</f>
        <v>10.35</v>
      </c>
      <c r="K6" s="1046"/>
      <c r="L6" s="1046"/>
    </row>
    <row r="7" spans="2:32" ht="15" customHeight="1" x14ac:dyDescent="0.25">
      <c r="B7" s="698" t="s">
        <v>467</v>
      </c>
      <c r="C7" s="1047">
        <f>IF(BCA!$I$19=BCA!$I$16,F7,I7)</f>
        <v>1</v>
      </c>
      <c r="D7" s="1048">
        <f>IF(BCA!$I$19=BCA!$I$16,G7,J7)</f>
        <v>25.4</v>
      </c>
      <c r="E7" s="1026"/>
      <c r="F7" s="1047">
        <v>1</v>
      </c>
      <c r="G7" s="1048">
        <v>25.4</v>
      </c>
      <c r="H7" s="1026"/>
      <c r="I7" s="1047">
        <f>VMT.VHT.ADT.Change!O27</f>
        <v>1.1452991452991452</v>
      </c>
      <c r="J7" s="1048">
        <f>Rates!E25</f>
        <v>20.7</v>
      </c>
      <c r="K7" s="1046"/>
      <c r="L7" s="1046"/>
    </row>
    <row r="8" spans="2:32" ht="15" customHeight="1" x14ac:dyDescent="0.25">
      <c r="B8" s="698" t="s">
        <v>642</v>
      </c>
      <c r="C8" s="1047">
        <f>IF(BCA!$I$19=BCA!$I$16,F8,I8)</f>
        <v>1.39</v>
      </c>
      <c r="D8" s="1048">
        <f>IF(BCA!$I$19=BCA!$I$16,G8,J8)</f>
        <v>13.6</v>
      </c>
      <c r="E8" s="1026"/>
      <c r="F8" s="1047">
        <v>1.39</v>
      </c>
      <c r="G8" s="1048">
        <v>13.6</v>
      </c>
      <c r="H8" s="1026"/>
      <c r="I8" s="1047">
        <f>VMT.VHT.ADT.Change!O25</f>
        <v>1.39</v>
      </c>
      <c r="J8" s="1048">
        <f>Rates!E26</f>
        <v>10.35</v>
      </c>
      <c r="K8" s="1046"/>
      <c r="L8" s="1046"/>
    </row>
    <row r="9" spans="2:32" ht="15" customHeight="1" x14ac:dyDescent="0.25">
      <c r="B9" s="698" t="s">
        <v>347</v>
      </c>
      <c r="C9" s="1047">
        <f>IF(BCA!$I$19=BCA!$I$16,F9,I9)</f>
        <v>1</v>
      </c>
      <c r="D9" s="1048">
        <f>IF(BCA!$I$19=BCA!$I$16,G9,J9)</f>
        <v>27.2</v>
      </c>
      <c r="E9" s="958"/>
      <c r="F9" s="1047">
        <v>1</v>
      </c>
      <c r="G9" s="1048">
        <v>27.2</v>
      </c>
      <c r="H9" s="958"/>
      <c r="I9" s="1047">
        <f>VMT.VHT.ADT.Change!O28</f>
        <v>1.07</v>
      </c>
      <c r="J9" s="1048">
        <f>Rates!E32</f>
        <v>17.510000000000002</v>
      </c>
    </row>
    <row r="10" spans="2:32" ht="15" customHeight="1" x14ac:dyDescent="0.25">
      <c r="B10" s="1578"/>
      <c r="C10" s="1579"/>
      <c r="D10" s="1580"/>
      <c r="E10" s="958"/>
      <c r="F10" s="958"/>
      <c r="G10" s="958"/>
      <c r="H10" s="958"/>
    </row>
    <row r="11" spans="2:32" ht="15" thickBot="1" x14ac:dyDescent="0.3">
      <c r="B11" s="702"/>
      <c r="C11" s="958"/>
      <c r="D11" s="958"/>
      <c r="E11" s="958"/>
      <c r="F11" s="958"/>
      <c r="G11" s="958"/>
      <c r="H11" s="958"/>
    </row>
    <row r="12" spans="2:32" ht="21.75" customHeight="1" thickBot="1" x14ac:dyDescent="0.3">
      <c r="B12" s="954"/>
      <c r="C12" s="955"/>
      <c r="D12" s="956"/>
      <c r="E12" s="1818"/>
      <c r="F12" s="1819"/>
      <c r="G12" s="1819"/>
      <c r="H12" s="1819"/>
      <c r="I12" s="1819"/>
      <c r="J12" s="1819"/>
      <c r="K12" s="1819"/>
      <c r="L12" s="1819"/>
      <c r="M12" s="1819"/>
      <c r="N12" s="1819"/>
      <c r="O12" s="1819"/>
      <c r="P12" s="1819"/>
      <c r="Q12" s="1819"/>
      <c r="R12" s="1819"/>
      <c r="S12" s="1819"/>
      <c r="T12" s="1819"/>
      <c r="U12" s="1819"/>
      <c r="V12" s="1819"/>
      <c r="W12" s="1819"/>
      <c r="X12" s="1819"/>
      <c r="Y12" s="1820"/>
    </row>
    <row r="13" spans="2:32" ht="13.5" thickBot="1" x14ac:dyDescent="0.3">
      <c r="B13" s="957"/>
      <c r="C13" s="958"/>
      <c r="D13" s="959"/>
      <c r="E13" s="712">
        <v>2023</v>
      </c>
      <c r="F13" s="417">
        <f>E13+1</f>
        <v>2024</v>
      </c>
      <c r="G13" s="417">
        <f t="shared" ref="G13:Y13" si="0">F13+1</f>
        <v>2025</v>
      </c>
      <c r="H13" s="417">
        <f t="shared" si="0"/>
        <v>2026</v>
      </c>
      <c r="I13" s="417">
        <f t="shared" si="0"/>
        <v>2027</v>
      </c>
      <c r="J13" s="417">
        <f t="shared" si="0"/>
        <v>2028</v>
      </c>
      <c r="K13" s="417">
        <f t="shared" si="0"/>
        <v>2029</v>
      </c>
      <c r="L13" s="417">
        <f t="shared" si="0"/>
        <v>2030</v>
      </c>
      <c r="M13" s="417">
        <f t="shared" si="0"/>
        <v>2031</v>
      </c>
      <c r="N13" s="417">
        <f t="shared" si="0"/>
        <v>2032</v>
      </c>
      <c r="O13" s="417">
        <f t="shared" si="0"/>
        <v>2033</v>
      </c>
      <c r="P13" s="417">
        <f t="shared" si="0"/>
        <v>2034</v>
      </c>
      <c r="Q13" s="417">
        <f t="shared" si="0"/>
        <v>2035</v>
      </c>
      <c r="R13" s="417">
        <f t="shared" si="0"/>
        <v>2036</v>
      </c>
      <c r="S13" s="417">
        <f t="shared" si="0"/>
        <v>2037</v>
      </c>
      <c r="T13" s="417">
        <f t="shared" si="0"/>
        <v>2038</v>
      </c>
      <c r="U13" s="417">
        <f t="shared" si="0"/>
        <v>2039</v>
      </c>
      <c r="V13" s="417">
        <f t="shared" si="0"/>
        <v>2040</v>
      </c>
      <c r="W13" s="417">
        <f t="shared" si="0"/>
        <v>2041</v>
      </c>
      <c r="X13" s="417">
        <f t="shared" si="0"/>
        <v>2042</v>
      </c>
      <c r="Y13" s="713">
        <f t="shared" si="0"/>
        <v>2043</v>
      </c>
    </row>
    <row r="14" spans="2:32" s="1028" customFormat="1" ht="18" customHeight="1" x14ac:dyDescent="0.25">
      <c r="B14" s="1027" t="s">
        <v>573</v>
      </c>
      <c r="C14" s="601"/>
      <c r="D14" s="961"/>
      <c r="E14" s="962"/>
      <c r="F14" s="435"/>
      <c r="G14" s="435"/>
      <c r="H14" s="435"/>
      <c r="I14" s="435"/>
      <c r="J14" s="435"/>
      <c r="K14" s="435"/>
      <c r="L14" s="435"/>
      <c r="M14" s="435"/>
      <c r="N14" s="435"/>
      <c r="O14" s="435"/>
      <c r="P14" s="435"/>
      <c r="Q14" s="435"/>
      <c r="R14" s="435"/>
      <c r="S14" s="435"/>
      <c r="T14" s="435"/>
      <c r="U14" s="435"/>
      <c r="V14" s="435"/>
      <c r="W14" s="435"/>
      <c r="X14" s="435"/>
      <c r="Y14" s="963"/>
      <c r="Z14" s="424"/>
      <c r="AA14" s="424"/>
      <c r="AB14" s="424"/>
      <c r="AC14" s="424"/>
      <c r="AD14" s="424"/>
      <c r="AE14" s="424"/>
      <c r="AF14" s="424"/>
    </row>
    <row r="15" spans="2:32" s="1028" customFormat="1" ht="18" customHeight="1" x14ac:dyDescent="0.25">
      <c r="B15" s="969" t="s">
        <v>863</v>
      </c>
      <c r="C15" s="601"/>
      <c r="D15" s="961"/>
      <c r="E15" s="1470">
        <f>'Build.vs.No-Build'!F12</f>
        <v>8454311.3437231276</v>
      </c>
      <c r="F15" s="1410">
        <f>'Build.vs.No-Build'!G12</f>
        <v>8797585.2005785722</v>
      </c>
      <c r="G15" s="1410">
        <f>'Build.vs.No-Build'!H12</f>
        <v>9154797.1460623574</v>
      </c>
      <c r="H15" s="1410">
        <f>'Build.vs.No-Build'!I12</f>
        <v>9526513.1140804105</v>
      </c>
      <c r="I15" s="1410">
        <f>'Build.vs.No-Build'!J12</f>
        <v>9913322.0173842013</v>
      </c>
      <c r="J15" s="1410">
        <f>'Build.vs.No-Build'!K12</f>
        <v>10315836.680590212</v>
      </c>
      <c r="K15" s="1410">
        <f>'Build.vs.No-Build'!L12</f>
        <v>10734694.811083145</v>
      </c>
      <c r="L15" s="1410">
        <f>'Build.vs.No-Build'!M12</f>
        <v>11170560.009341132</v>
      </c>
      <c r="M15" s="1410">
        <f>'Build.vs.No-Build'!N12</f>
        <v>11624122.820283584</v>
      </c>
      <c r="N15" s="1410">
        <f>'Build.vs.No-Build'!O12</f>
        <v>12096101.827307342</v>
      </c>
      <c r="O15" s="1410">
        <f>'Build.vs.No-Build'!P12</f>
        <v>12587244.790744431</v>
      </c>
      <c r="P15" s="1410">
        <f>'Build.vs.No-Build'!Q12</f>
        <v>13098329.832545079</v>
      </c>
      <c r="Q15" s="1410">
        <f>'Build.vs.No-Build'!R12</f>
        <v>13630166.669062907</v>
      </c>
      <c r="R15" s="1410">
        <f>'Build.vs.No-Build'!S12</f>
        <v>14183597.893895378</v>
      </c>
      <c r="S15" s="1410">
        <f>'Build.vs.No-Build'!T12</f>
        <v>14759500.312811982</v>
      </c>
      <c r="T15" s="1410">
        <f>'Build.vs.No-Build'!U12</f>
        <v>15358786.33288501</v>
      </c>
      <c r="U15" s="1410">
        <f>'Build.vs.No-Build'!V12</f>
        <v>15982405.408023814</v>
      </c>
      <c r="V15" s="1410">
        <f>'Build.vs.No-Build'!W12</f>
        <v>16631345.54320265</v>
      </c>
      <c r="W15" s="1410">
        <f>'Build.vs.No-Build'!X12</f>
        <v>17306634.859765317</v>
      </c>
      <c r="X15" s="1410">
        <f>'Build.vs.No-Build'!Y12</f>
        <v>18009343.224286493</v>
      </c>
      <c r="Y15" s="1411">
        <f>'Build.vs.No-Build'!Z12</f>
        <v>18740583.943570413</v>
      </c>
      <c r="Z15" s="424"/>
      <c r="AA15" s="424"/>
      <c r="AB15" s="424"/>
      <c r="AC15" s="424"/>
      <c r="AD15" s="424"/>
      <c r="AE15" s="424"/>
      <c r="AF15" s="424"/>
    </row>
    <row r="16" spans="2:32" s="1028" customFormat="1" ht="18" customHeight="1" x14ac:dyDescent="0.25">
      <c r="B16" s="969" t="s">
        <v>862</v>
      </c>
      <c r="C16" s="601"/>
      <c r="D16" s="961"/>
      <c r="E16" s="1470">
        <f>'Build.vs.No-Build'!F45</f>
        <v>8469045.2065612637</v>
      </c>
      <c r="F16" s="1410">
        <f>'Build.vs.No-Build'!G45</f>
        <v>8669953.5787617825</v>
      </c>
      <c r="G16" s="1410">
        <f>'Build.vs.No-Build'!H45</f>
        <v>8875628.0341553614</v>
      </c>
      <c r="H16" s="1410">
        <f>'Build.vs.No-Build'!I45</f>
        <v>9086181.6369650308</v>
      </c>
      <c r="I16" s="1410">
        <f>'Build.vs.No-Build'!J45</f>
        <v>9301730.1335991733</v>
      </c>
      <c r="J16" s="1410">
        <f>'Build.vs.No-Build'!K45</f>
        <v>9522392.0162801277</v>
      </c>
      <c r="K16" s="1410">
        <f>'Build.vs.No-Build'!L45</f>
        <v>9748288.5881822221</v>
      </c>
      <c r="L16" s="1410">
        <f>'Build.vs.No-Build'!M45</f>
        <v>9979544.030115068</v>
      </c>
      <c r="M16" s="1410">
        <f>'Build.vs.No-Build'!N45</f>
        <v>10216285.468788756</v>
      </c>
      <c r="N16" s="1410">
        <f>'Build.vs.No-Build'!O45</f>
        <v>10458643.046698483</v>
      </c>
      <c r="O16" s="1410">
        <f>'Build.vs.No-Build'!P45</f>
        <v>10706749.993667021</v>
      </c>
      <c r="P16" s="1410">
        <f>'Build.vs.No-Build'!Q45</f>
        <v>10960742.700084392</v>
      </c>
      <c r="Q16" s="1410">
        <f>'Build.vs.No-Build'!R45</f>
        <v>11220760.791884942</v>
      </c>
      <c r="R16" s="1410">
        <f>'Build.vs.No-Build'!S45</f>
        <v>11486947.207303116</v>
      </c>
      <c r="S16" s="1410">
        <f>'Build.vs.No-Build'!T45</f>
        <v>11759448.275450043</v>
      </c>
      <c r="T16" s="1410">
        <f>'Build.vs.No-Build'!U45</f>
        <v>12038413.796754204</v>
      </c>
      <c r="U16" s="1410">
        <f>'Build.vs.No-Build'!V45</f>
        <v>12323997.125310337</v>
      </c>
      <c r="V16" s="1410">
        <f>'Build.vs.No-Build'!W45</f>
        <v>12616355.253181908</v>
      </c>
      <c r="W16" s="1410">
        <f>'Build.vs.No-Build'!X45</f>
        <v>12915648.896703433</v>
      </c>
      <c r="X16" s="1410">
        <f>'Build.vs.No-Build'!Y45</f>
        <v>13222042.584830141</v>
      </c>
      <c r="Y16" s="1411">
        <f>'Build.vs.No-Build'!Z45</f>
        <v>13535704.749583511</v>
      </c>
      <c r="Z16" s="424"/>
      <c r="AA16" s="424"/>
      <c r="AB16" s="424"/>
      <c r="AC16" s="424"/>
      <c r="AD16" s="424"/>
      <c r="AE16" s="424"/>
      <c r="AF16" s="424"/>
    </row>
    <row r="17" spans="2:32" ht="18" customHeight="1" x14ac:dyDescent="0.25">
      <c r="B17" s="969" t="s">
        <v>290</v>
      </c>
      <c r="C17" s="965" t="s">
        <v>343</v>
      </c>
      <c r="D17" s="959"/>
      <c r="E17" s="1049">
        <f>E16-E15</f>
        <v>14733.862838136032</v>
      </c>
      <c r="F17" s="1029">
        <f t="shared" ref="F17:Y17" si="1">F16-F15</f>
        <v>-127631.62181678973</v>
      </c>
      <c r="G17" s="1029">
        <f t="shared" si="1"/>
        <v>-279169.111906996</v>
      </c>
      <c r="H17" s="1029">
        <f t="shared" si="1"/>
        <v>-440331.47711537965</v>
      </c>
      <c r="I17" s="1029">
        <f t="shared" si="1"/>
        <v>-611591.88378502801</v>
      </c>
      <c r="J17" s="1029">
        <f t="shared" si="1"/>
        <v>-793444.66431008466</v>
      </c>
      <c r="K17" s="1029">
        <f t="shared" si="1"/>
        <v>-986406.22290092334</v>
      </c>
      <c r="L17" s="1029">
        <f t="shared" si="1"/>
        <v>-1191015.9792260639</v>
      </c>
      <c r="M17" s="1029">
        <f t="shared" si="1"/>
        <v>-1407837.3514948282</v>
      </c>
      <c r="N17" s="1029">
        <f t="shared" si="1"/>
        <v>-1637458.7806088589</v>
      </c>
      <c r="O17" s="1029">
        <f t="shared" si="1"/>
        <v>-1880494.7970774099</v>
      </c>
      <c r="P17" s="1029">
        <f t="shared" si="1"/>
        <v>-2137587.1324606873</v>
      </c>
      <c r="Q17" s="1029">
        <f t="shared" si="1"/>
        <v>-2409405.8771779649</v>
      </c>
      <c r="R17" s="1029">
        <f t="shared" si="1"/>
        <v>-2696650.6865922622</v>
      </c>
      <c r="S17" s="1029">
        <f t="shared" si="1"/>
        <v>-3000052.0373619385</v>
      </c>
      <c r="T17" s="1029">
        <f t="shared" si="1"/>
        <v>-3320372.5361308064</v>
      </c>
      <c r="U17" s="1029">
        <f t="shared" si="1"/>
        <v>-3658408.2827134766</v>
      </c>
      <c r="V17" s="1029">
        <f t="shared" si="1"/>
        <v>-4014990.2900207415</v>
      </c>
      <c r="W17" s="1029">
        <f t="shared" si="1"/>
        <v>-4390985.963061884</v>
      </c>
      <c r="X17" s="1029">
        <f t="shared" si="1"/>
        <v>-4787300.6394563522</v>
      </c>
      <c r="Y17" s="1339">
        <f t="shared" si="1"/>
        <v>-5204879.193986902</v>
      </c>
    </row>
    <row r="18" spans="2:32" ht="18" customHeight="1" x14ac:dyDescent="0.25">
      <c r="B18" s="969" t="s">
        <v>582</v>
      </c>
      <c r="C18" s="965" t="s">
        <v>344</v>
      </c>
      <c r="D18" s="959"/>
      <c r="E18" s="1050">
        <f>E17*$C$8*$D$8</f>
        <v>278528.94309212355</v>
      </c>
      <c r="F18" s="1051">
        <f t="shared" ref="F18:Y18" si="2">F17*$C$8*$D$8</f>
        <v>-2412748.1788245928</v>
      </c>
      <c r="G18" s="1051">
        <f t="shared" si="2"/>
        <v>-5277412.8914898513</v>
      </c>
      <c r="H18" s="1051">
        <f t="shared" si="2"/>
        <v>-8324026.2433891352</v>
      </c>
      <c r="I18" s="1051">
        <f t="shared" si="2"/>
        <v>-11561532.971072167</v>
      </c>
      <c r="J18" s="1051">
        <f t="shared" si="2"/>
        <v>-14999277.934117837</v>
      </c>
      <c r="K18" s="1051">
        <f t="shared" si="2"/>
        <v>-18647023.237719055</v>
      </c>
      <c r="L18" s="1051">
        <f t="shared" si="2"/>
        <v>-22514966.07128951</v>
      </c>
      <c r="M18" s="1051">
        <f t="shared" si="2"/>
        <v>-26613757.292658232</v>
      </c>
      <c r="N18" s="1051">
        <f t="shared" si="2"/>
        <v>-30954520.788629867</v>
      </c>
      <c r="O18" s="1051">
        <f t="shared" si="2"/>
        <v>-35548873.643951356</v>
      </c>
      <c r="P18" s="1051">
        <f t="shared" si="2"/>
        <v>-40408947.152036831</v>
      </c>
      <c r="Q18" s="1051">
        <f t="shared" si="2"/>
        <v>-45547408.702172242</v>
      </c>
      <c r="R18" s="1051">
        <f t="shared" si="2"/>
        <v>-50977484.579340115</v>
      </c>
      <c r="S18" s="1051">
        <f t="shared" si="2"/>
        <v>-56712983.714290082</v>
      </c>
      <c r="T18" s="1051">
        <f t="shared" si="2"/>
        <v>-62768322.423016757</v>
      </c>
      <c r="U18" s="1051">
        <f t="shared" si="2"/>
        <v>-69158550.176415548</v>
      </c>
      <c r="V18" s="1051">
        <f t="shared" si="2"/>
        <v>-75899376.44255209</v>
      </c>
      <c r="W18" s="1051">
        <f t="shared" si="2"/>
        <v>-83007198.645721838</v>
      </c>
      <c r="X18" s="1051">
        <f t="shared" si="2"/>
        <v>-90499131.288282871</v>
      </c>
      <c r="Y18" s="1412">
        <f t="shared" si="2"/>
        <v>-98393036.283128381</v>
      </c>
    </row>
    <row r="19" spans="2:32" ht="18" customHeight="1" x14ac:dyDescent="0.25">
      <c r="B19" s="969"/>
      <c r="C19" s="965"/>
      <c r="D19" s="959"/>
      <c r="E19" s="966"/>
      <c r="F19" s="967"/>
      <c r="G19" s="967"/>
      <c r="H19" s="967"/>
      <c r="I19" s="967"/>
      <c r="J19" s="967"/>
      <c r="K19" s="967"/>
      <c r="L19" s="967"/>
      <c r="M19" s="967"/>
      <c r="N19" s="967"/>
      <c r="O19" s="967"/>
      <c r="P19" s="967"/>
      <c r="Q19" s="967"/>
      <c r="R19" s="967"/>
      <c r="S19" s="967"/>
      <c r="T19" s="967"/>
      <c r="U19" s="967"/>
      <c r="V19" s="967"/>
      <c r="W19" s="967"/>
      <c r="X19" s="967"/>
      <c r="Y19" s="968"/>
    </row>
    <row r="20" spans="2:32" ht="18" customHeight="1" x14ac:dyDescent="0.25">
      <c r="B20" s="1027" t="s">
        <v>574</v>
      </c>
      <c r="C20" s="965"/>
      <c r="D20" s="959"/>
      <c r="E20" s="966"/>
      <c r="F20" s="967"/>
      <c r="G20" s="967"/>
      <c r="H20" s="967"/>
      <c r="I20" s="967"/>
      <c r="J20" s="967"/>
      <c r="K20" s="967"/>
      <c r="L20" s="967"/>
      <c r="M20" s="967"/>
      <c r="N20" s="967"/>
      <c r="O20" s="967"/>
      <c r="P20" s="967"/>
      <c r="Q20" s="967"/>
      <c r="R20" s="967"/>
      <c r="S20" s="967"/>
      <c r="T20" s="967"/>
      <c r="U20" s="967"/>
      <c r="V20" s="967"/>
      <c r="W20" s="967"/>
      <c r="X20" s="967"/>
      <c r="Y20" s="968"/>
    </row>
    <row r="21" spans="2:32" s="1028" customFormat="1" ht="18" customHeight="1" x14ac:dyDescent="0.25">
      <c r="B21" s="969" t="s">
        <v>863</v>
      </c>
      <c r="C21" s="601"/>
      <c r="D21" s="961"/>
      <c r="E21" s="1470">
        <f>'Build.vs.No-Build'!F13</f>
        <v>4583222.1375105102</v>
      </c>
      <c r="F21" s="1410">
        <f>'Build.vs.No-Build'!G13</f>
        <v>4733143.2525839452</v>
      </c>
      <c r="G21" s="1410">
        <f>'Build.vs.No-Build'!H13</f>
        <v>4887968.4155238168</v>
      </c>
      <c r="H21" s="1410">
        <f>'Build.vs.No-Build'!I13</f>
        <v>5047858.0419291193</v>
      </c>
      <c r="I21" s="1410">
        <f>'Build.vs.No-Build'!J13</f>
        <v>5212977.7947302526</v>
      </c>
      <c r="J21" s="1410">
        <f>'Build.vs.No-Build'!K13</f>
        <v>5383498.7558337282</v>
      </c>
      <c r="K21" s="1410">
        <f>'Build.vs.No-Build'!L13</f>
        <v>5559597.6033815024</v>
      </c>
      <c r="L21" s="1410">
        <f>'Build.vs.No-Build'!M13</f>
        <v>5741456.7948086252</v>
      </c>
      <c r="M21" s="1410">
        <f>'Build.vs.No-Build'!N13</f>
        <v>5929264.7558888635</v>
      </c>
      <c r="N21" s="1410">
        <f>'Build.vs.No-Build'!O13</f>
        <v>6123216.0759641584</v>
      </c>
      <c r="O21" s="1410">
        <f>'Build.vs.No-Build'!P13</f>
        <v>6323511.7095602127</v>
      </c>
      <c r="P21" s="1410">
        <f>'Build.vs.No-Build'!Q13</f>
        <v>6530359.1845970955</v>
      </c>
      <c r="Q21" s="1410">
        <f>'Build.vs.No-Build'!R13</f>
        <v>6743972.8174105892</v>
      </c>
      <c r="R21" s="1410">
        <f>'Build.vs.No-Build'!S13</f>
        <v>6964573.9348070761</v>
      </c>
      <c r="S21" s="1410">
        <f>'Build.vs.No-Build'!T13</f>
        <v>7192391.103382024</v>
      </c>
      <c r="T21" s="1410">
        <f>'Build.vs.No-Build'!U13</f>
        <v>7427660.3663396742</v>
      </c>
      <c r="U21" s="1410">
        <f>'Build.vs.No-Build'!V13</f>
        <v>7670625.4880593168</v>
      </c>
      <c r="V21" s="1410">
        <f>'Build.vs.No-Build'!W13</f>
        <v>7921538.2066615205</v>
      </c>
      <c r="W21" s="1410">
        <f>'Build.vs.No-Build'!X13</f>
        <v>8180658.4948360296</v>
      </c>
      <c r="X21" s="1410">
        <f>'Build.vs.No-Build'!Y13</f>
        <v>8448254.8292015679</v>
      </c>
      <c r="Y21" s="1411">
        <f>'Build.vs.No-Build'!Z13</f>
        <v>8724604.4684766121</v>
      </c>
      <c r="Z21" s="424"/>
      <c r="AA21" s="424"/>
      <c r="AB21" s="424"/>
      <c r="AC21" s="424"/>
      <c r="AD21" s="424"/>
      <c r="AE21" s="424"/>
      <c r="AF21" s="424"/>
    </row>
    <row r="22" spans="2:32" s="1028" customFormat="1" ht="18" customHeight="1" x14ac:dyDescent="0.25">
      <c r="B22" s="969" t="s">
        <v>862</v>
      </c>
      <c r="C22" s="601"/>
      <c r="D22" s="961"/>
      <c r="E22" s="1470">
        <f>'Build.vs.No-Build'!F46</f>
        <v>4593359.8318302492</v>
      </c>
      <c r="F22" s="1410">
        <f>'Build.vs.No-Build'!G46</f>
        <v>4666563.3627820546</v>
      </c>
      <c r="G22" s="1410">
        <f>'Build.vs.No-Build'!H46</f>
        <v>4740933.5249450002</v>
      </c>
      <c r="H22" s="1410">
        <f>'Build.vs.No-Build'!I46</f>
        <v>4816488.9107061625</v>
      </c>
      <c r="I22" s="1410">
        <f>'Build.vs.No-Build'!J46</f>
        <v>4893248.4087560717</v>
      </c>
      <c r="J22" s="1410">
        <f>'Build.vs.No-Build'!K46</f>
        <v>4971231.2088108454</v>
      </c>
      <c r="K22" s="1410">
        <f>'Build.vs.No-Build'!L46</f>
        <v>5050456.8064095778</v>
      </c>
      <c r="L22" s="1410">
        <f>'Build.vs.No-Build'!M46</f>
        <v>5130945.007788185</v>
      </c>
      <c r="M22" s="1410">
        <f>'Build.vs.No-Build'!N46</f>
        <v>5212715.9348309217</v>
      </c>
      <c r="N22" s="1410">
        <f>'Build.vs.No-Build'!O46</f>
        <v>5295790.0301008141</v>
      </c>
      <c r="O22" s="1410">
        <f>'Build.vs.No-Build'!P46</f>
        <v>5380188.0619502533</v>
      </c>
      <c r="P22" s="1410">
        <f>'Build.vs.No-Build'!Q46</f>
        <v>5465931.1297130464</v>
      </c>
      <c r="Q22" s="1410">
        <f>'Build.vs.No-Build'!R46</f>
        <v>5553040.6689791987</v>
      </c>
      <c r="R22" s="1410">
        <f>'Build.vs.No-Build'!S46</f>
        <v>5641538.456953777</v>
      </c>
      <c r="S22" s="1410">
        <f>'Build.vs.No-Build'!T46</f>
        <v>5731446.6179011539</v>
      </c>
      <c r="T22" s="1410">
        <f>'Build.vs.No-Build'!U46</f>
        <v>5822787.628676042</v>
      </c>
      <c r="U22" s="1410">
        <f>'Build.vs.No-Build'!V46</f>
        <v>5915584.3243426504</v>
      </c>
      <c r="V22" s="1410">
        <f>'Build.vs.No-Build'!W46</f>
        <v>6009859.903883406</v>
      </c>
      <c r="W22" s="1410">
        <f>'Build.vs.No-Build'!X46</f>
        <v>6105637.9359986577</v>
      </c>
      <c r="X22" s="1410">
        <f>'Build.vs.No-Build'!Y46</f>
        <v>6202942.3649987932</v>
      </c>
      <c r="Y22" s="1411">
        <f>'Build.vs.No-Build'!Z46</f>
        <v>6301797.5167902689</v>
      </c>
      <c r="Z22" s="424"/>
      <c r="AA22" s="424"/>
      <c r="AB22" s="424"/>
      <c r="AC22" s="424"/>
      <c r="AD22" s="424"/>
      <c r="AE22" s="424"/>
      <c r="AF22" s="424"/>
    </row>
    <row r="23" spans="2:32" ht="18" customHeight="1" x14ac:dyDescent="0.25">
      <c r="B23" s="969" t="s">
        <v>290</v>
      </c>
      <c r="C23" s="965" t="s">
        <v>471</v>
      </c>
      <c r="D23" s="959"/>
      <c r="E23" s="1049">
        <f>E22-E21</f>
        <v>10137.694319739006</v>
      </c>
      <c r="F23" s="1029">
        <f t="shared" ref="F23:Y23" si="3">F22-F21</f>
        <v>-66579.889801890589</v>
      </c>
      <c r="G23" s="1029">
        <f t="shared" si="3"/>
        <v>-147034.89057881664</v>
      </c>
      <c r="H23" s="1029">
        <f t="shared" si="3"/>
        <v>-231369.13122295681</v>
      </c>
      <c r="I23" s="1029">
        <f t="shared" si="3"/>
        <v>-319729.38597418088</v>
      </c>
      <c r="J23" s="1029">
        <f t="shared" si="3"/>
        <v>-412267.54702288285</v>
      </c>
      <c r="K23" s="1029">
        <f t="shared" si="3"/>
        <v>-509140.7969719246</v>
      </c>
      <c r="L23" s="1029">
        <f t="shared" si="3"/>
        <v>-610511.78702044021</v>
      </c>
      <c r="M23" s="1029">
        <f t="shared" si="3"/>
        <v>-716548.82105794176</v>
      </c>
      <c r="N23" s="1029">
        <f t="shared" si="3"/>
        <v>-827426.04586334433</v>
      </c>
      <c r="O23" s="1029">
        <f t="shared" si="3"/>
        <v>-943323.64760995936</v>
      </c>
      <c r="P23" s="1029">
        <f t="shared" si="3"/>
        <v>-1064428.0548840491</v>
      </c>
      <c r="Q23" s="1029">
        <f t="shared" si="3"/>
        <v>-1190932.1484313905</v>
      </c>
      <c r="R23" s="1029">
        <f t="shared" si="3"/>
        <v>-1323035.4778532991</v>
      </c>
      <c r="S23" s="1029">
        <f t="shared" si="3"/>
        <v>-1460944.4854808701</v>
      </c>
      <c r="T23" s="1029">
        <f t="shared" si="3"/>
        <v>-1604872.7376636323</v>
      </c>
      <c r="U23" s="1029">
        <f t="shared" si="3"/>
        <v>-1755041.1637166664</v>
      </c>
      <c r="V23" s="1029">
        <f t="shared" si="3"/>
        <v>-1911678.3027781146</v>
      </c>
      <c r="W23" s="1029">
        <f t="shared" si="3"/>
        <v>-2075020.5588373719</v>
      </c>
      <c r="X23" s="1029">
        <f t="shared" si="3"/>
        <v>-2245312.4642027747</v>
      </c>
      <c r="Y23" s="1339">
        <f t="shared" si="3"/>
        <v>-2422806.9516863432</v>
      </c>
    </row>
    <row r="24" spans="2:32" ht="18" customHeight="1" x14ac:dyDescent="0.25">
      <c r="B24" s="969" t="s">
        <v>582</v>
      </c>
      <c r="C24" s="965" t="s">
        <v>345</v>
      </c>
      <c r="D24" s="959"/>
      <c r="E24" s="1050">
        <f>E23*$C$6*$D$6</f>
        <v>198688.67097256478</v>
      </c>
      <c r="F24" s="1051">
        <f t="shared" ref="F24:Y24" si="4">F23*$C$6*$D$6</f>
        <v>-1304899.2602272537</v>
      </c>
      <c r="G24" s="1051">
        <f t="shared" si="4"/>
        <v>-2881736.8204542273</v>
      </c>
      <c r="H24" s="1051">
        <f t="shared" si="4"/>
        <v>-4534603.6028387304</v>
      </c>
      <c r="I24" s="1051">
        <f t="shared" si="4"/>
        <v>-6266376.2357079713</v>
      </c>
      <c r="J24" s="1051">
        <f t="shared" si="4"/>
        <v>-8080031.6541014798</v>
      </c>
      <c r="K24" s="1051">
        <f t="shared" si="4"/>
        <v>-9978650.479852749</v>
      </c>
      <c r="L24" s="1051">
        <f t="shared" si="4"/>
        <v>-11965420.513813607</v>
      </c>
      <c r="M24" s="1051">
        <f t="shared" si="4"/>
        <v>-14043640.3439146</v>
      </c>
      <c r="N24" s="1051">
        <f t="shared" si="4"/>
        <v>-16216723.072875684</v>
      </c>
      <c r="O24" s="1051">
        <f t="shared" si="4"/>
        <v>-18488200.169507593</v>
      </c>
      <c r="P24" s="1051">
        <f t="shared" si="4"/>
        <v>-20861725.447672475</v>
      </c>
      <c r="Q24" s="1051">
        <f t="shared" si="4"/>
        <v>-23341079.17710682</v>
      </c>
      <c r="R24" s="1051">
        <f t="shared" si="4"/>
        <v>-25930172.33044681</v>
      </c>
      <c r="S24" s="1051">
        <f t="shared" si="4"/>
        <v>-28633050.970939569</v>
      </c>
      <c r="T24" s="1051">
        <f t="shared" si="4"/>
        <v>-31453900.785469528</v>
      </c>
      <c r="U24" s="1051">
        <f t="shared" si="4"/>
        <v>-34397051.76768294</v>
      </c>
      <c r="V24" s="1051">
        <f t="shared" si="4"/>
        <v>-37466983.056148261</v>
      </c>
      <c r="W24" s="1051">
        <f t="shared" si="4"/>
        <v>-40668327.932653651</v>
      </c>
      <c r="X24" s="1051">
        <f t="shared" si="4"/>
        <v>-44005878.985910177</v>
      </c>
      <c r="Y24" s="1412">
        <f t="shared" si="4"/>
        <v>-47484593.446100637</v>
      </c>
    </row>
    <row r="25" spans="2:32" ht="18" customHeight="1" x14ac:dyDescent="0.25">
      <c r="B25" s="969"/>
      <c r="C25" s="965"/>
      <c r="D25" s="959"/>
      <c r="E25" s="966"/>
      <c r="F25" s="967"/>
      <c r="G25" s="967"/>
      <c r="H25" s="967"/>
      <c r="I25" s="967"/>
      <c r="J25" s="967"/>
      <c r="K25" s="967"/>
      <c r="L25" s="967"/>
      <c r="M25" s="967"/>
      <c r="N25" s="967"/>
      <c r="O25" s="967"/>
      <c r="P25" s="967"/>
      <c r="Q25" s="967"/>
      <c r="R25" s="967"/>
      <c r="S25" s="967"/>
      <c r="T25" s="967"/>
      <c r="U25" s="967"/>
      <c r="V25" s="967"/>
      <c r="W25" s="967"/>
      <c r="X25" s="967"/>
      <c r="Y25" s="968"/>
    </row>
    <row r="26" spans="2:32" ht="18" customHeight="1" x14ac:dyDescent="0.25">
      <c r="B26" s="1027" t="s">
        <v>575</v>
      </c>
      <c r="C26" s="965"/>
      <c r="D26" s="959"/>
      <c r="E26" s="966"/>
      <c r="F26" s="967"/>
      <c r="G26" s="967"/>
      <c r="H26" s="967"/>
      <c r="I26" s="967"/>
      <c r="J26" s="967"/>
      <c r="K26" s="967"/>
      <c r="L26" s="967"/>
      <c r="M26" s="967"/>
      <c r="N26" s="967"/>
      <c r="O26" s="967"/>
      <c r="P26" s="967"/>
      <c r="Q26" s="967"/>
      <c r="R26" s="967"/>
      <c r="S26" s="967"/>
      <c r="T26" s="967"/>
      <c r="U26" s="967"/>
      <c r="V26" s="967"/>
      <c r="W26" s="967"/>
      <c r="X26" s="967"/>
      <c r="Y26" s="968"/>
    </row>
    <row r="27" spans="2:32" s="1028" customFormat="1" ht="18" customHeight="1" x14ac:dyDescent="0.25">
      <c r="B27" s="969" t="s">
        <v>863</v>
      </c>
      <c r="C27" s="601"/>
      <c r="D27" s="961"/>
      <c r="E27" s="1470">
        <f>'Build.vs.No-Build'!F14</f>
        <v>2782560.6125391289</v>
      </c>
      <c r="F27" s="1410">
        <f>'Build.vs.No-Build'!G14</f>
        <v>2895256.4460825352</v>
      </c>
      <c r="G27" s="1410">
        <f>'Build.vs.No-Build'!H14</f>
        <v>3012516.5470998683</v>
      </c>
      <c r="H27" s="1410">
        <f>'Build.vs.No-Build'!I14</f>
        <v>3134525.7719156127</v>
      </c>
      <c r="I27" s="1410">
        <f>'Build.vs.No-Build'!J14</f>
        <v>3261476.4636768154</v>
      </c>
      <c r="J27" s="1410">
        <f>'Build.vs.No-Build'!K14</f>
        <v>3393568.755575126</v>
      </c>
      <c r="K27" s="1410">
        <f>'Build.vs.No-Build'!L14</f>
        <v>3531010.8863495621</v>
      </c>
      <c r="L27" s="1410">
        <f>'Build.vs.No-Build'!M14</f>
        <v>3674019.5285673812</v>
      </c>
      <c r="M27" s="1410">
        <f>'Build.vs.No-Build'!N14</f>
        <v>3822820.1302005765</v>
      </c>
      <c r="N27" s="1410">
        <f>'Build.vs.No-Build'!O14</f>
        <v>3977647.2700364771</v>
      </c>
      <c r="O27" s="1410">
        <f>'Build.vs.No-Build'!P14</f>
        <v>4138745.027482762</v>
      </c>
      <c r="P27" s="1410">
        <f>'Build.vs.No-Build'!Q14</f>
        <v>4306367.3673498463</v>
      </c>
      <c r="Q27" s="1410">
        <f>'Build.vs.No-Build'!R14</f>
        <v>4480778.540217259</v>
      </c>
      <c r="R27" s="1410">
        <f>'Build.vs.No-Build'!S14</f>
        <v>4662253.4990151562</v>
      </c>
      <c r="S27" s="1410">
        <f>'Build.vs.No-Build'!T14</f>
        <v>4851078.3324777139</v>
      </c>
      <c r="T27" s="1410">
        <f>'Build.vs.No-Build'!U14</f>
        <v>5047550.7161517069</v>
      </c>
      <c r="U27" s="1410">
        <f>'Build.vs.No-Build'!V14</f>
        <v>5251980.381671289</v>
      </c>
      <c r="V27" s="1410">
        <f>'Build.vs.No-Build'!W14</f>
        <v>5464689.6050387416</v>
      </c>
      <c r="W27" s="1410">
        <f>'Build.vs.No-Build'!X14</f>
        <v>5686013.7146809958</v>
      </c>
      <c r="X27" s="1410">
        <f>'Build.vs.No-Build'!Y14</f>
        <v>5916301.6200828049</v>
      </c>
      <c r="Y27" s="1411">
        <f>'Build.vs.No-Build'!Z14</f>
        <v>6155916.3618299849</v>
      </c>
      <c r="Z27" s="424"/>
      <c r="AA27" s="424"/>
      <c r="AB27" s="424"/>
      <c r="AC27" s="424"/>
      <c r="AD27" s="424"/>
      <c r="AE27" s="424"/>
      <c r="AF27" s="424"/>
    </row>
    <row r="28" spans="2:32" s="1028" customFormat="1" ht="18" customHeight="1" x14ac:dyDescent="0.25">
      <c r="B28" s="969" t="s">
        <v>862</v>
      </c>
      <c r="C28" s="601"/>
      <c r="D28" s="961"/>
      <c r="E28" s="1470">
        <f>'Build.vs.No-Build'!F47</f>
        <v>2787464.9820931358</v>
      </c>
      <c r="F28" s="1410">
        <f>'Build.vs.No-Build'!G47</f>
        <v>2853311.3283654531</v>
      </c>
      <c r="G28" s="1410">
        <f>'Build.vs.No-Build'!H47</f>
        <v>2920713.1170721208</v>
      </c>
      <c r="H28" s="1410">
        <f>'Build.vs.No-Build'!I47</f>
        <v>2989707.0913477782</v>
      </c>
      <c r="I28" s="1410">
        <f>'Build.vs.No-Build'!J47</f>
        <v>3060330.8622845751</v>
      </c>
      <c r="J28" s="1410">
        <f>'Build.vs.No-Build'!K47</f>
        <v>3132622.9294353276</v>
      </c>
      <c r="K28" s="1410">
        <f>'Build.vs.No-Build'!L47</f>
        <v>3206622.701801009</v>
      </c>
      <c r="L28" s="1410">
        <f>'Build.vs.No-Build'!M47</f>
        <v>3282370.5193140064</v>
      </c>
      <c r="M28" s="1410">
        <f>'Build.vs.No-Build'!N47</f>
        <v>3359907.6748288716</v>
      </c>
      <c r="N28" s="1410">
        <f>'Build.vs.No-Build'!O47</f>
        <v>3439276.4366325326</v>
      </c>
      <c r="O28" s="1410">
        <f>'Build.vs.No-Build'!P47</f>
        <v>3520520.0714862607</v>
      </c>
      <c r="P28" s="1410">
        <f>'Build.vs.No-Build'!Q47</f>
        <v>3603682.8682119274</v>
      </c>
      <c r="Q28" s="1410">
        <f>'Build.vs.No-Build'!R47</f>
        <v>3688810.1618354395</v>
      </c>
      <c r="R28" s="1410">
        <f>'Build.vs.No-Build'!S47</f>
        <v>3775948.3583004824</v>
      </c>
      <c r="S28" s="1410">
        <f>'Build.vs.No-Build'!T47</f>
        <v>3865144.959766069</v>
      </c>
      <c r="T28" s="1410">
        <f>'Build.vs.No-Build'!U47</f>
        <v>3956448.5905016731</v>
      </c>
      <c r="U28" s="1410">
        <f>'Build.vs.No-Build'!V47</f>
        <v>4049909.0233940608</v>
      </c>
      <c r="V28" s="1410">
        <f>'Build.vs.No-Build'!W47</f>
        <v>4145577.2070802781</v>
      </c>
      <c r="W28" s="1410">
        <f>'Build.vs.No-Build'!X47</f>
        <v>4243505.2937215883</v>
      </c>
      <c r="X28" s="1410">
        <f>'Build.vs.No-Build'!Y47</f>
        <v>4343746.6674334779</v>
      </c>
      <c r="Y28" s="1411">
        <f>'Build.vs.No-Build'!Z47</f>
        <v>4446355.97338726</v>
      </c>
      <c r="Z28" s="424"/>
      <c r="AA28" s="424"/>
      <c r="AB28" s="424"/>
      <c r="AC28" s="424"/>
      <c r="AD28" s="424"/>
      <c r="AE28" s="424"/>
      <c r="AF28" s="424"/>
    </row>
    <row r="29" spans="2:32" ht="18" customHeight="1" x14ac:dyDescent="0.25">
      <c r="B29" s="969" t="s">
        <v>290</v>
      </c>
      <c r="C29" s="965" t="s">
        <v>472</v>
      </c>
      <c r="D29" s="959"/>
      <c r="E29" s="1049">
        <f>E28-E27</f>
        <v>4904.3695540069602</v>
      </c>
      <c r="F29" s="1029">
        <f t="shared" ref="F29:Y29" si="5">F28-F27</f>
        <v>-41945.117717082147</v>
      </c>
      <c r="G29" s="1029">
        <f t="shared" si="5"/>
        <v>-91803.430027747527</v>
      </c>
      <c r="H29" s="1029">
        <f t="shared" si="5"/>
        <v>-144818.68056783453</v>
      </c>
      <c r="I29" s="1029">
        <f t="shared" si="5"/>
        <v>-201145.60139224026</v>
      </c>
      <c r="J29" s="1029">
        <f t="shared" si="5"/>
        <v>-260945.82613979839</v>
      </c>
      <c r="K29" s="1029">
        <f t="shared" si="5"/>
        <v>-324388.18454855308</v>
      </c>
      <c r="L29" s="1029">
        <f t="shared" si="5"/>
        <v>-391649.00925337477</v>
      </c>
      <c r="M29" s="1029">
        <f t="shared" si="5"/>
        <v>-462912.45537170488</v>
      </c>
      <c r="N29" s="1029">
        <f t="shared" si="5"/>
        <v>-538370.8334039445</v>
      </c>
      <c r="O29" s="1029">
        <f t="shared" si="5"/>
        <v>-618224.95599650126</v>
      </c>
      <c r="P29" s="1029">
        <f t="shared" si="5"/>
        <v>-702684.49913791893</v>
      </c>
      <c r="Q29" s="1029">
        <f t="shared" si="5"/>
        <v>-791968.37838181946</v>
      </c>
      <c r="R29" s="1029">
        <f t="shared" si="5"/>
        <v>-886305.14071467379</v>
      </c>
      <c r="S29" s="1029">
        <f t="shared" si="5"/>
        <v>-985933.37271164497</v>
      </c>
      <c r="T29" s="1029">
        <f t="shared" si="5"/>
        <v>-1091102.1256500338</v>
      </c>
      <c r="U29" s="1029">
        <f t="shared" si="5"/>
        <v>-1202071.3582772282</v>
      </c>
      <c r="V29" s="1029">
        <f t="shared" si="5"/>
        <v>-1319112.3979584635</v>
      </c>
      <c r="W29" s="1029">
        <f t="shared" si="5"/>
        <v>-1442508.4209594075</v>
      </c>
      <c r="X29" s="1029">
        <f t="shared" si="5"/>
        <v>-1572554.952649327</v>
      </c>
      <c r="Y29" s="1339">
        <f t="shared" si="5"/>
        <v>-1709560.3884427249</v>
      </c>
    </row>
    <row r="30" spans="2:32" ht="18" customHeight="1" x14ac:dyDescent="0.25">
      <c r="B30" s="969" t="s">
        <v>582</v>
      </c>
      <c r="C30" s="965" t="s">
        <v>473</v>
      </c>
      <c r="D30" s="959"/>
      <c r="E30" s="1050">
        <f>E29*$C$7*$D$7</f>
        <v>124570.98667177679</v>
      </c>
      <c r="F30" s="1051">
        <f t="shared" ref="F30:Y30" si="6">F29*$C$7*$D$7</f>
        <v>-1065405.9900138865</v>
      </c>
      <c r="G30" s="1051">
        <f t="shared" si="6"/>
        <v>-2331807.1227047872</v>
      </c>
      <c r="H30" s="1051">
        <f t="shared" si="6"/>
        <v>-3678394.486422997</v>
      </c>
      <c r="I30" s="1051">
        <f t="shared" si="6"/>
        <v>-5109098.2753629023</v>
      </c>
      <c r="J30" s="1051">
        <f t="shared" si="6"/>
        <v>-6628023.9839508785</v>
      </c>
      <c r="K30" s="1051">
        <f t="shared" si="6"/>
        <v>-8239459.8875332475</v>
      </c>
      <c r="L30" s="1051">
        <f t="shared" si="6"/>
        <v>-9947884.835035719</v>
      </c>
      <c r="M30" s="1051">
        <f t="shared" si="6"/>
        <v>-11757976.366441304</v>
      </c>
      <c r="N30" s="1051">
        <f t="shared" si="6"/>
        <v>-13674619.16846019</v>
      </c>
      <c r="O30" s="1051">
        <f t="shared" si="6"/>
        <v>-15702913.882311132</v>
      </c>
      <c r="P30" s="1051">
        <f t="shared" si="6"/>
        <v>-17848186.278103139</v>
      </c>
      <c r="Q30" s="1051">
        <f t="shared" si="6"/>
        <v>-20115996.810898215</v>
      </c>
      <c r="R30" s="1051">
        <f t="shared" si="6"/>
        <v>-22512150.574152712</v>
      </c>
      <c r="S30" s="1051">
        <f t="shared" si="6"/>
        <v>-25042707.66687578</v>
      </c>
      <c r="T30" s="1051">
        <f t="shared" si="6"/>
        <v>-27713993.991510857</v>
      </c>
      <c r="U30" s="1051">
        <f t="shared" si="6"/>
        <v>-30532612.500241596</v>
      </c>
      <c r="V30" s="1051">
        <f t="shared" si="6"/>
        <v>-33505454.908144973</v>
      </c>
      <c r="W30" s="1051">
        <f t="shared" si="6"/>
        <v>-36639713.89236895</v>
      </c>
      <c r="X30" s="1051">
        <f t="shared" si="6"/>
        <v>-39942895.797292903</v>
      </c>
      <c r="Y30" s="1412">
        <f t="shared" si="6"/>
        <v>-43422833.866445214</v>
      </c>
    </row>
    <row r="31" spans="2:32" ht="18" customHeight="1" x14ac:dyDescent="0.25">
      <c r="B31" s="969"/>
      <c r="C31" s="965"/>
      <c r="D31" s="959"/>
      <c r="E31" s="966"/>
      <c r="F31" s="967"/>
      <c r="G31" s="967"/>
      <c r="H31" s="967"/>
      <c r="I31" s="967"/>
      <c r="J31" s="967"/>
      <c r="K31" s="967"/>
      <c r="L31" s="967"/>
      <c r="M31" s="967"/>
      <c r="N31" s="967"/>
      <c r="O31" s="967"/>
      <c r="P31" s="967"/>
      <c r="Q31" s="967"/>
      <c r="R31" s="967"/>
      <c r="S31" s="967"/>
      <c r="T31" s="967"/>
      <c r="U31" s="967"/>
      <c r="V31" s="967"/>
      <c r="W31" s="967"/>
      <c r="X31" s="967"/>
      <c r="Y31" s="968"/>
    </row>
    <row r="32" spans="2:32" ht="18" customHeight="1" x14ac:dyDescent="0.25">
      <c r="B32" s="1027" t="s">
        <v>469</v>
      </c>
      <c r="C32" s="965"/>
      <c r="D32" s="959"/>
      <c r="E32" s="966"/>
      <c r="F32" s="967"/>
      <c r="G32" s="967"/>
      <c r="H32" s="967"/>
      <c r="I32" s="967"/>
      <c r="J32" s="967"/>
      <c r="K32" s="967"/>
      <c r="L32" s="967"/>
      <c r="M32" s="967"/>
      <c r="N32" s="967"/>
      <c r="O32" s="967"/>
      <c r="P32" s="967"/>
      <c r="Q32" s="967"/>
      <c r="R32" s="967"/>
      <c r="S32" s="967"/>
      <c r="T32" s="967"/>
      <c r="U32" s="967"/>
      <c r="V32" s="967"/>
      <c r="W32" s="967"/>
      <c r="X32" s="967"/>
      <c r="Y32" s="968"/>
    </row>
    <row r="33" spans="2:32" s="1028" customFormat="1" ht="18" customHeight="1" x14ac:dyDescent="0.25">
      <c r="B33" s="969" t="s">
        <v>863</v>
      </c>
      <c r="C33" s="601"/>
      <c r="D33" s="961"/>
      <c r="E33" s="1030">
        <f>E15+E21+E27</f>
        <v>15820094.093772767</v>
      </c>
      <c r="F33" s="1031">
        <f t="shared" ref="F33:Y33" si="7">F15+F21+F27</f>
        <v>16425984.899245054</v>
      </c>
      <c r="G33" s="1031">
        <f t="shared" si="7"/>
        <v>17055282.108686045</v>
      </c>
      <c r="H33" s="1031">
        <f t="shared" si="7"/>
        <v>17708896.92792514</v>
      </c>
      <c r="I33" s="1031">
        <f t="shared" si="7"/>
        <v>18387776.275791269</v>
      </c>
      <c r="J33" s="1031">
        <f t="shared" si="7"/>
        <v>19092904.191999067</v>
      </c>
      <c r="K33" s="1031">
        <f t="shared" si="7"/>
        <v>19825303.300814211</v>
      </c>
      <c r="L33" s="1031">
        <f t="shared" si="7"/>
        <v>20586036.332717139</v>
      </c>
      <c r="M33" s="1031">
        <f t="shared" si="7"/>
        <v>21376207.706373025</v>
      </c>
      <c r="N33" s="1031">
        <f t="shared" si="7"/>
        <v>22196965.173307978</v>
      </c>
      <c r="O33" s="1031">
        <f t="shared" si="7"/>
        <v>23049501.527787406</v>
      </c>
      <c r="P33" s="1031">
        <f t="shared" si="7"/>
        <v>23935056.384492025</v>
      </c>
      <c r="Q33" s="1031">
        <f t="shared" si="7"/>
        <v>24854918.026690755</v>
      </c>
      <c r="R33" s="1031">
        <f t="shared" si="7"/>
        <v>25810425.32771761</v>
      </c>
      <c r="S33" s="1031">
        <f t="shared" si="7"/>
        <v>26802969.748671722</v>
      </c>
      <c r="T33" s="1031">
        <f t="shared" si="7"/>
        <v>27833997.415376391</v>
      </c>
      <c r="U33" s="1031">
        <f t="shared" si="7"/>
        <v>28905011.277754419</v>
      </c>
      <c r="V33" s="1031">
        <f t="shared" si="7"/>
        <v>30017573.354902908</v>
      </c>
      <c r="W33" s="1031">
        <f t="shared" si="7"/>
        <v>31173307.069282342</v>
      </c>
      <c r="X33" s="1031">
        <f t="shared" si="7"/>
        <v>32373899.673570864</v>
      </c>
      <c r="Y33" s="1032">
        <f t="shared" si="7"/>
        <v>33621104.77387701</v>
      </c>
      <c r="Z33" s="424"/>
      <c r="AA33" s="424"/>
      <c r="AB33" s="424"/>
      <c r="AC33" s="424"/>
      <c r="AD33" s="424"/>
      <c r="AE33" s="424"/>
      <c r="AF33" s="424"/>
    </row>
    <row r="34" spans="2:32" s="1028" customFormat="1" ht="18" customHeight="1" x14ac:dyDescent="0.25">
      <c r="B34" s="969" t="s">
        <v>862</v>
      </c>
      <c r="C34" s="601"/>
      <c r="D34" s="961"/>
      <c r="E34" s="1030">
        <f>E16+E22+E28</f>
        <v>15849870.020484649</v>
      </c>
      <c r="F34" s="1031">
        <f t="shared" ref="F34:Y34" si="8">F16+F22+F28</f>
        <v>16189828.269909289</v>
      </c>
      <c r="G34" s="1031">
        <f t="shared" si="8"/>
        <v>16537274.676172482</v>
      </c>
      <c r="H34" s="1031">
        <f t="shared" si="8"/>
        <v>16892377.639018971</v>
      </c>
      <c r="I34" s="1031">
        <f t="shared" si="8"/>
        <v>17255309.404639821</v>
      </c>
      <c r="J34" s="1031">
        <f t="shared" si="8"/>
        <v>17626246.154526301</v>
      </c>
      <c r="K34" s="1031">
        <f t="shared" si="8"/>
        <v>18005368.09639281</v>
      </c>
      <c r="L34" s="1031">
        <f t="shared" si="8"/>
        <v>18392859.557217259</v>
      </c>
      <c r="M34" s="1031">
        <f t="shared" si="8"/>
        <v>18788909.078448549</v>
      </c>
      <c r="N34" s="1031">
        <f t="shared" si="8"/>
        <v>19193709.513431828</v>
      </c>
      <c r="O34" s="1031">
        <f t="shared" si="8"/>
        <v>19607458.127103537</v>
      </c>
      <c r="P34" s="1031">
        <f t="shared" si="8"/>
        <v>20030356.698009368</v>
      </c>
      <c r="Q34" s="1031">
        <f t="shared" si="8"/>
        <v>20462611.622699581</v>
      </c>
      <c r="R34" s="1031">
        <f t="shared" si="8"/>
        <v>20904434.022557374</v>
      </c>
      <c r="S34" s="1031">
        <f t="shared" si="8"/>
        <v>21356039.853117265</v>
      </c>
      <c r="T34" s="1031">
        <f t="shared" si="8"/>
        <v>21817650.015931919</v>
      </c>
      <c r="U34" s="1031">
        <f t="shared" si="8"/>
        <v>22289490.473047048</v>
      </c>
      <c r="V34" s="1031">
        <f t="shared" si="8"/>
        <v>22771792.364145592</v>
      </c>
      <c r="W34" s="1031">
        <f t="shared" si="8"/>
        <v>23264792.126423679</v>
      </c>
      <c r="X34" s="1031">
        <f t="shared" si="8"/>
        <v>23768731.617262412</v>
      </c>
      <c r="Y34" s="1032">
        <f t="shared" si="8"/>
        <v>24283858.23976104</v>
      </c>
      <c r="Z34" s="424"/>
      <c r="AA34" s="424"/>
      <c r="AB34" s="424"/>
      <c r="AC34" s="424"/>
      <c r="AD34" s="424"/>
      <c r="AE34" s="424"/>
      <c r="AF34" s="424"/>
    </row>
    <row r="35" spans="2:32" ht="18" customHeight="1" x14ac:dyDescent="0.25">
      <c r="B35" s="969" t="s">
        <v>290</v>
      </c>
      <c r="C35" s="965" t="s">
        <v>474</v>
      </c>
      <c r="D35" s="959"/>
      <c r="E35" s="1471">
        <f>E34-E33</f>
        <v>29775.926711881533</v>
      </c>
      <c r="F35" s="1052">
        <f t="shared" ref="F35:Y35" si="9">F34-F33</f>
        <v>-236156.6293357648</v>
      </c>
      <c r="G35" s="1052">
        <f t="shared" si="9"/>
        <v>-518007.43251356296</v>
      </c>
      <c r="H35" s="1052">
        <f t="shared" si="9"/>
        <v>-816519.28890616819</v>
      </c>
      <c r="I35" s="1052">
        <f t="shared" si="9"/>
        <v>-1132466.8711514473</v>
      </c>
      <c r="J35" s="1052">
        <f t="shared" si="9"/>
        <v>-1466658.0374727659</v>
      </c>
      <c r="K35" s="1052">
        <f t="shared" si="9"/>
        <v>-1819935.204421401</v>
      </c>
      <c r="L35" s="1052">
        <f t="shared" si="9"/>
        <v>-2193176.7754998803</v>
      </c>
      <c r="M35" s="1052">
        <f t="shared" si="9"/>
        <v>-2587298.6279244758</v>
      </c>
      <c r="N35" s="1052">
        <f t="shared" si="9"/>
        <v>-3003255.6598761491</v>
      </c>
      <c r="O35" s="1052">
        <f t="shared" si="9"/>
        <v>-3442043.4006838687</v>
      </c>
      <c r="P35" s="1052">
        <f t="shared" si="9"/>
        <v>-3904699.6864826567</v>
      </c>
      <c r="Q35" s="1052">
        <f t="shared" si="9"/>
        <v>-4392306.403991174</v>
      </c>
      <c r="R35" s="1052">
        <f t="shared" si="9"/>
        <v>-4905991.3051602356</v>
      </c>
      <c r="S35" s="1052">
        <f t="shared" si="9"/>
        <v>-5446929.8955544569</v>
      </c>
      <c r="T35" s="1052">
        <f t="shared" si="9"/>
        <v>-6016347.399444472</v>
      </c>
      <c r="U35" s="1052">
        <f t="shared" si="9"/>
        <v>-6615520.8047073707</v>
      </c>
      <c r="V35" s="1052">
        <f t="shared" si="9"/>
        <v>-7245780.9907573164</v>
      </c>
      <c r="W35" s="1052">
        <f t="shared" si="9"/>
        <v>-7908514.9428586625</v>
      </c>
      <c r="X35" s="1052">
        <f t="shared" si="9"/>
        <v>-8605168.056308452</v>
      </c>
      <c r="Y35" s="1413">
        <f t="shared" si="9"/>
        <v>-9337246.5341159701</v>
      </c>
    </row>
    <row r="36" spans="2:32" ht="18" customHeight="1" x14ac:dyDescent="0.25">
      <c r="B36" s="969" t="s">
        <v>582</v>
      </c>
      <c r="C36" s="965" t="s">
        <v>475</v>
      </c>
      <c r="D36" s="959"/>
      <c r="E36" s="1030">
        <f>E18+E24+E30</f>
        <v>601788.60073646507</v>
      </c>
      <c r="F36" s="1031">
        <f t="shared" ref="F36:Y36" si="10">F18+F24+F30</f>
        <v>-4783053.4290657332</v>
      </c>
      <c r="G36" s="1031">
        <f t="shared" si="10"/>
        <v>-10490956.834648866</v>
      </c>
      <c r="H36" s="1031">
        <f t="shared" si="10"/>
        <v>-16537024.332650863</v>
      </c>
      <c r="I36" s="1031">
        <f t="shared" si="10"/>
        <v>-22937007.482143041</v>
      </c>
      <c r="J36" s="1031">
        <f t="shared" si="10"/>
        <v>-29707333.572170194</v>
      </c>
      <c r="K36" s="1031">
        <f t="shared" si="10"/>
        <v>-36865133.60510505</v>
      </c>
      <c r="L36" s="1031">
        <f t="shared" si="10"/>
        <v>-44428271.420138836</v>
      </c>
      <c r="M36" s="1031">
        <f t="shared" si="10"/>
        <v>-52415374.003014132</v>
      </c>
      <c r="N36" s="1031">
        <f t="shared" si="10"/>
        <v>-60845863.029965743</v>
      </c>
      <c r="O36" s="1031">
        <f t="shared" si="10"/>
        <v>-69739987.695770085</v>
      </c>
      <c r="P36" s="1031">
        <f t="shared" si="10"/>
        <v>-79118858.877812445</v>
      </c>
      <c r="Q36" s="1031">
        <f t="shared" si="10"/>
        <v>-89004484.690177277</v>
      </c>
      <c r="R36" s="1031">
        <f t="shared" si="10"/>
        <v>-99419807.483939633</v>
      </c>
      <c r="S36" s="1031">
        <f t="shared" si="10"/>
        <v>-110388742.35210544</v>
      </c>
      <c r="T36" s="1031">
        <f t="shared" si="10"/>
        <v>-121936217.19999714</v>
      </c>
      <c r="U36" s="1031">
        <f t="shared" si="10"/>
        <v>-134088214.44434008</v>
      </c>
      <c r="V36" s="1031">
        <f t="shared" si="10"/>
        <v>-146871814.40684533</v>
      </c>
      <c r="W36" s="1031">
        <f t="shared" si="10"/>
        <v>-160315240.47074443</v>
      </c>
      <c r="X36" s="1031">
        <f t="shared" si="10"/>
        <v>-174447906.07148594</v>
      </c>
      <c r="Y36" s="1032">
        <f t="shared" si="10"/>
        <v>-189300463.59567425</v>
      </c>
    </row>
    <row r="37" spans="2:32" ht="18" customHeight="1" x14ac:dyDescent="0.25">
      <c r="B37" s="969"/>
      <c r="C37" s="965"/>
      <c r="D37" s="959"/>
      <c r="E37" s="1030"/>
      <c r="F37" s="1031"/>
      <c r="G37" s="1031"/>
      <c r="H37" s="1031"/>
      <c r="I37" s="1031"/>
      <c r="J37" s="1031"/>
      <c r="K37" s="1031"/>
      <c r="L37" s="1031"/>
      <c r="M37" s="1031"/>
      <c r="N37" s="1031"/>
      <c r="O37" s="1031"/>
      <c r="P37" s="1031"/>
      <c r="Q37" s="1031"/>
      <c r="R37" s="1031"/>
      <c r="S37" s="1031"/>
      <c r="T37" s="1031"/>
      <c r="U37" s="1031"/>
      <c r="V37" s="1031"/>
      <c r="W37" s="1031"/>
      <c r="X37" s="1031"/>
      <c r="Y37" s="1032"/>
    </row>
    <row r="38" spans="2:32" ht="18" customHeight="1" x14ac:dyDescent="0.25">
      <c r="B38" s="1027" t="s">
        <v>140</v>
      </c>
      <c r="C38" s="965"/>
      <c r="D38" s="959"/>
      <c r="E38" s="1030"/>
      <c r="F38" s="1031"/>
      <c r="G38" s="1031"/>
      <c r="H38" s="1031"/>
      <c r="I38" s="1031"/>
      <c r="J38" s="1031"/>
      <c r="K38" s="1031"/>
      <c r="L38" s="1031"/>
      <c r="M38" s="1031"/>
      <c r="N38" s="1031"/>
      <c r="O38" s="1031"/>
      <c r="P38" s="1031"/>
      <c r="Q38" s="1031"/>
      <c r="R38" s="1031"/>
      <c r="S38" s="1031"/>
      <c r="T38" s="1031"/>
      <c r="U38" s="1031"/>
      <c r="V38" s="1031"/>
      <c r="W38" s="1031"/>
      <c r="X38" s="1031"/>
      <c r="Y38" s="1032"/>
    </row>
    <row r="39" spans="2:32" s="1028" customFormat="1" ht="18" customHeight="1" x14ac:dyDescent="0.25">
      <c r="B39" s="969" t="s">
        <v>863</v>
      </c>
      <c r="C39" s="601"/>
      <c r="D39" s="961"/>
      <c r="E39" s="1472">
        <f>'Build.vs.No-Build'!F15</f>
        <v>1229752.7639351764</v>
      </c>
      <c r="F39" s="1407">
        <f>'Build.vs.No-Build'!G15</f>
        <v>1279081.0264611747</v>
      </c>
      <c r="G39" s="1407">
        <f>'Build.vs.No-Build'!H15</f>
        <v>1330387.9610871221</v>
      </c>
      <c r="H39" s="1407">
        <f>'Build.vs.No-Build'!I15</f>
        <v>1383752.936983523</v>
      </c>
      <c r="I39" s="1407">
        <f>'Build.vs.No-Build'!J15</f>
        <v>1439258.5070041344</v>
      </c>
      <c r="J39" s="1407">
        <f>'Build.vs.No-Build'!K15</f>
        <v>1496990.5353909545</v>
      </c>
      <c r="K39" s="1407">
        <f>'Build.vs.No-Build'!L15</f>
        <v>1557038.3306017588</v>
      </c>
      <c r="L39" s="1407">
        <f>'Build.vs.No-Build'!M15</f>
        <v>1619494.7834656565</v>
      </c>
      <c r="M39" s="1407">
        <f>'Build.vs.No-Build'!N15</f>
        <v>1684456.5108803955</v>
      </c>
      <c r="N39" s="1407">
        <f>'Build.vs.No-Build'!O15</f>
        <v>1752024.0052736956</v>
      </c>
      <c r="O39" s="1407">
        <f>'Build.vs.No-Build'!P15</f>
        <v>1822301.7900598312</v>
      </c>
      <c r="P39" s="1407">
        <f>'Build.vs.No-Build'!Q15</f>
        <v>1895398.5813319392</v>
      </c>
      <c r="Q39" s="1407">
        <f>'Build.vs.No-Build'!R15</f>
        <v>1971427.4560401854</v>
      </c>
      <c r="R39" s="1407">
        <f>'Build.vs.No-Build'!S15</f>
        <v>2050506.0269159463</v>
      </c>
      <c r="S39" s="1407">
        <f>'Build.vs.No-Build'!T15</f>
        <v>2132756.6244126181</v>
      </c>
      <c r="T39" s="1407">
        <f>'Build.vs.No-Build'!U15</f>
        <v>2218306.4859444867</v>
      </c>
      <c r="U39" s="1407">
        <f>'Build.vs.No-Build'!V15</f>
        <v>2307287.9527164232</v>
      </c>
      <c r="V39" s="1407">
        <f>'Build.vs.No-Build'!W15</f>
        <v>2399838.6744488673</v>
      </c>
      <c r="W39" s="1407">
        <f>'Build.vs.No-Build'!X15</f>
        <v>2496101.8223148207</v>
      </c>
      <c r="X39" s="1407">
        <f>'Build.vs.No-Build'!Y15</f>
        <v>2596226.3104182351</v>
      </c>
      <c r="Y39" s="1414">
        <f>'Build.vs.No-Build'!Z15</f>
        <v>2700367.0261564157</v>
      </c>
      <c r="Z39" s="424"/>
      <c r="AA39" s="424"/>
      <c r="AB39" s="424"/>
      <c r="AC39" s="424"/>
      <c r="AD39" s="424"/>
      <c r="AE39" s="424"/>
      <c r="AF39" s="424"/>
    </row>
    <row r="40" spans="2:32" s="1028" customFormat="1" ht="18" customHeight="1" x14ac:dyDescent="0.25">
      <c r="B40" s="969" t="s">
        <v>862</v>
      </c>
      <c r="C40" s="601"/>
      <c r="D40" s="961"/>
      <c r="E40" s="1472">
        <f>'Build.vs.No-Build'!F48</f>
        <v>963393.61397058831</v>
      </c>
      <c r="F40" s="1407">
        <f>'Build.vs.No-Build'!G48</f>
        <v>995321.63278624869</v>
      </c>
      <c r="G40" s="1407">
        <f>'Build.vs.No-Build'!H48</f>
        <v>1028307.7844052723</v>
      </c>
      <c r="H40" s="1407">
        <f>'Build.vs.No-Build'!I48</f>
        <v>1062387.136616739</v>
      </c>
      <c r="I40" s="1407">
        <f>'Build.vs.No-Build'!J48</f>
        <v>1097595.9193982806</v>
      </c>
      <c r="J40" s="1407">
        <f>'Build.vs.No-Build'!K48</f>
        <v>1133971.5634324024</v>
      </c>
      <c r="K40" s="1407">
        <f>'Build.vs.No-Build'!L48</f>
        <v>1171552.7398992819</v>
      </c>
      <c r="L40" s="1407">
        <f>'Build.vs.No-Build'!M48</f>
        <v>1210379.401588348</v>
      </c>
      <c r="M40" s="1407">
        <f>'Build.vs.No-Build'!N48</f>
        <v>1250492.8253723467</v>
      </c>
      <c r="N40" s="1407">
        <f>'Build.vs.No-Build'!O48</f>
        <v>1291935.6560890505</v>
      </c>
      <c r="O40" s="1407">
        <f>'Build.vs.No-Build'!P48</f>
        <v>1334751.9518772564</v>
      </c>
      <c r="P40" s="1407">
        <f>'Build.vs.No-Build'!Q48</f>
        <v>1378987.231015278</v>
      </c>
      <c r="Q40" s="1407">
        <f>'Build.vs.No-Build'!R48</f>
        <v>1424688.5203117165</v>
      </c>
      <c r="R40" s="1407">
        <f>'Build.vs.No-Build'!S48</f>
        <v>1471904.4050999628</v>
      </c>
      <c r="S40" s="1407">
        <f>'Build.vs.No-Build'!T48</f>
        <v>1520685.080889578</v>
      </c>
      <c r="T40" s="1407">
        <f>'Build.vs.No-Build'!U48</f>
        <v>1571082.4067294588</v>
      </c>
      <c r="U40" s="1407">
        <f>'Build.vs.No-Build'!V48</f>
        <v>1623149.9603395271</v>
      </c>
      <c r="V40" s="1407">
        <f>'Build.vs.No-Build'!W48</f>
        <v>1676943.0950695453</v>
      </c>
      <c r="W40" s="1407">
        <f>'Build.vs.No-Build'!X48</f>
        <v>1732518.998745617</v>
      </c>
      <c r="X40" s="1407">
        <f>'Build.vs.No-Build'!Y48</f>
        <v>1789936.7544669327</v>
      </c>
      <c r="Y40" s="1414">
        <f>'Build.vs.No-Build'!Z48</f>
        <v>1849257.4034173908</v>
      </c>
      <c r="Z40" s="424"/>
      <c r="AA40" s="424"/>
      <c r="AB40" s="424"/>
      <c r="AC40" s="424"/>
      <c r="AD40" s="424"/>
      <c r="AE40" s="424"/>
      <c r="AF40" s="424"/>
    </row>
    <row r="41" spans="2:32" ht="18" customHeight="1" x14ac:dyDescent="0.25">
      <c r="B41" s="969" t="s">
        <v>290</v>
      </c>
      <c r="C41" s="965" t="s">
        <v>477</v>
      </c>
      <c r="D41" s="959"/>
      <c r="E41" s="1471">
        <f>E40-E39</f>
        <v>-266359.14996458811</v>
      </c>
      <c r="F41" s="1052">
        <f t="shared" ref="F41:Y41" si="11">F40-F39</f>
        <v>-283759.39367492602</v>
      </c>
      <c r="G41" s="1052">
        <f t="shared" si="11"/>
        <v>-302080.17668184976</v>
      </c>
      <c r="H41" s="1052">
        <f t="shared" si="11"/>
        <v>-321365.80036678398</v>
      </c>
      <c r="I41" s="1052">
        <f t="shared" si="11"/>
        <v>-341662.5876058538</v>
      </c>
      <c r="J41" s="1052">
        <f t="shared" si="11"/>
        <v>-363018.97195855202</v>
      </c>
      <c r="K41" s="1052">
        <f t="shared" si="11"/>
        <v>-385485.59070247691</v>
      </c>
      <c r="L41" s="1052">
        <f t="shared" si="11"/>
        <v>-409115.38187730848</v>
      </c>
      <c r="M41" s="1052">
        <f t="shared" si="11"/>
        <v>-433963.68550804886</v>
      </c>
      <c r="N41" s="1052">
        <f t="shared" si="11"/>
        <v>-460088.34918464511</v>
      </c>
      <c r="O41" s="1052">
        <f t="shared" si="11"/>
        <v>-487549.83818257484</v>
      </c>
      <c r="P41" s="1052">
        <f t="shared" si="11"/>
        <v>-516411.35031666118</v>
      </c>
      <c r="Q41" s="1052">
        <f t="shared" si="11"/>
        <v>-546738.93572846893</v>
      </c>
      <c r="R41" s="1052">
        <f t="shared" si="11"/>
        <v>-578601.62181598344</v>
      </c>
      <c r="S41" s="1052">
        <f t="shared" si="11"/>
        <v>-612071.54352304013</v>
      </c>
      <c r="T41" s="1052">
        <f t="shared" si="11"/>
        <v>-647224.07921502786</v>
      </c>
      <c r="U41" s="1052">
        <f t="shared" si="11"/>
        <v>-684137.99237689609</v>
      </c>
      <c r="V41" s="1052">
        <f t="shared" si="11"/>
        <v>-722895.57937932201</v>
      </c>
      <c r="W41" s="1052">
        <f t="shared" si="11"/>
        <v>-763582.82356920373</v>
      </c>
      <c r="X41" s="1052">
        <f t="shared" si="11"/>
        <v>-806289.55595130241</v>
      </c>
      <c r="Y41" s="1413">
        <f t="shared" si="11"/>
        <v>-851109.62273902493</v>
      </c>
    </row>
    <row r="42" spans="2:32" ht="18" customHeight="1" x14ac:dyDescent="0.25">
      <c r="B42" s="969" t="s">
        <v>582</v>
      </c>
      <c r="C42" s="965" t="s">
        <v>478</v>
      </c>
      <c r="D42" s="959"/>
      <c r="E42" s="1473">
        <f t="shared" ref="E42:Y42" si="12">E41*$C$9*$D$9</f>
        <v>-7244968.8790367963</v>
      </c>
      <c r="F42" s="1053">
        <f t="shared" si="12"/>
        <v>-7718255.5079579875</v>
      </c>
      <c r="G42" s="1053">
        <f t="shared" si="12"/>
        <v>-8216580.8057463132</v>
      </c>
      <c r="H42" s="1053">
        <f t="shared" si="12"/>
        <v>-8741149.7699765246</v>
      </c>
      <c r="I42" s="1053">
        <f t="shared" si="12"/>
        <v>-9293222.3828792237</v>
      </c>
      <c r="J42" s="1053">
        <f t="shared" si="12"/>
        <v>-9874116.0372726154</v>
      </c>
      <c r="K42" s="1053">
        <f t="shared" si="12"/>
        <v>-10485208.067107372</v>
      </c>
      <c r="L42" s="1053">
        <f t="shared" si="12"/>
        <v>-11127938.38706279</v>
      </c>
      <c r="M42" s="1053">
        <f t="shared" si="12"/>
        <v>-11803812.245818928</v>
      </c>
      <c r="N42" s="1053">
        <f t="shared" si="12"/>
        <v>-12514403.097822346</v>
      </c>
      <c r="O42" s="1053">
        <f t="shared" si="12"/>
        <v>-13261355.598566035</v>
      </c>
      <c r="P42" s="1053">
        <f t="shared" si="12"/>
        <v>-14046388.728613183</v>
      </c>
      <c r="Q42" s="1053">
        <f t="shared" si="12"/>
        <v>-14871299.051814355</v>
      </c>
      <c r="R42" s="1053">
        <f t="shared" si="12"/>
        <v>-15737964.113394748</v>
      </c>
      <c r="S42" s="1053">
        <f t="shared" si="12"/>
        <v>-16648345.983826691</v>
      </c>
      <c r="T42" s="1053">
        <f t="shared" si="12"/>
        <v>-17604494.954648755</v>
      </c>
      <c r="U42" s="1053">
        <f t="shared" si="12"/>
        <v>-18608553.392651573</v>
      </c>
      <c r="V42" s="1053">
        <f t="shared" si="12"/>
        <v>-19662759.759117559</v>
      </c>
      <c r="W42" s="1053">
        <f t="shared" si="12"/>
        <v>-20769452.801082339</v>
      </c>
      <c r="X42" s="1053">
        <f t="shared" si="12"/>
        <v>-21931075.921875425</v>
      </c>
      <c r="Y42" s="1415">
        <f t="shared" si="12"/>
        <v>-23150181.738501478</v>
      </c>
    </row>
    <row r="43" spans="2:32" ht="18" customHeight="1" x14ac:dyDescent="0.3">
      <c r="B43" s="969"/>
      <c r="C43" s="965"/>
      <c r="D43" s="959"/>
      <c r="E43" s="1473"/>
      <c r="F43" s="1053"/>
      <c r="G43" s="1053"/>
      <c r="H43" s="1053"/>
      <c r="I43" s="1053"/>
      <c r="J43" s="1053"/>
      <c r="K43" s="1053"/>
      <c r="L43" s="1053"/>
      <c r="M43" s="1053"/>
      <c r="N43" s="1053"/>
      <c r="O43" s="1053"/>
      <c r="P43" s="1053"/>
      <c r="Q43" s="1053"/>
      <c r="R43" s="1053"/>
      <c r="S43" s="1053"/>
      <c r="T43" s="1053"/>
      <c r="U43" s="1053"/>
      <c r="V43" s="1053"/>
      <c r="W43" s="1053"/>
      <c r="X43" s="1053"/>
      <c r="Y43" s="1415"/>
    </row>
    <row r="44" spans="2:32" ht="18" customHeight="1" x14ac:dyDescent="0.3">
      <c r="B44" s="1027" t="s">
        <v>952</v>
      </c>
      <c r="C44" s="965"/>
      <c r="D44" s="959"/>
      <c r="E44" s="1473"/>
      <c r="F44" s="1053"/>
      <c r="G44" s="1053"/>
      <c r="H44" s="1053"/>
      <c r="I44" s="1053"/>
      <c r="J44" s="1053"/>
      <c r="K44" s="1053"/>
      <c r="L44" s="1053"/>
      <c r="M44" s="1053"/>
      <c r="N44" s="1053"/>
      <c r="O44" s="1053"/>
      <c r="P44" s="1053"/>
      <c r="Q44" s="1053"/>
      <c r="R44" s="1053"/>
      <c r="S44" s="1053"/>
      <c r="T44" s="1053"/>
      <c r="U44" s="1053"/>
      <c r="V44" s="1053"/>
      <c r="W44" s="1053"/>
      <c r="X44" s="1053"/>
      <c r="Y44" s="1415"/>
    </row>
    <row r="45" spans="2:32" ht="18" customHeight="1" x14ac:dyDescent="0.3">
      <c r="B45" s="969" t="s">
        <v>290</v>
      </c>
      <c r="C45" s="965"/>
      <c r="D45" s="959"/>
      <c r="E45" s="1473">
        <f>E41</f>
        <v>-266359.14996458811</v>
      </c>
      <c r="F45" s="1053">
        <f>F41</f>
        <v>-283759.39367492602</v>
      </c>
      <c r="G45" s="1053">
        <f t="shared" ref="G45:Y45" si="13">G41</f>
        <v>-302080.17668184976</v>
      </c>
      <c r="H45" s="1053">
        <f t="shared" si="13"/>
        <v>-321365.80036678398</v>
      </c>
      <c r="I45" s="1053">
        <f t="shared" si="13"/>
        <v>-341662.5876058538</v>
      </c>
      <c r="J45" s="1053">
        <f t="shared" si="13"/>
        <v>-363018.97195855202</v>
      </c>
      <c r="K45" s="1053">
        <f t="shared" si="13"/>
        <v>-385485.59070247691</v>
      </c>
      <c r="L45" s="1053">
        <f t="shared" si="13"/>
        <v>-409115.38187730848</v>
      </c>
      <c r="M45" s="1053">
        <f t="shared" si="13"/>
        <v>-433963.68550804886</v>
      </c>
      <c r="N45" s="1053">
        <f t="shared" si="13"/>
        <v>-460088.34918464511</v>
      </c>
      <c r="O45" s="1053">
        <f t="shared" si="13"/>
        <v>-487549.83818257484</v>
      </c>
      <c r="P45" s="1053">
        <f t="shared" si="13"/>
        <v>-516411.35031666118</v>
      </c>
      <c r="Q45" s="1053">
        <f t="shared" si="13"/>
        <v>-546738.93572846893</v>
      </c>
      <c r="R45" s="1053">
        <f t="shared" si="13"/>
        <v>-578601.62181598344</v>
      </c>
      <c r="S45" s="1053">
        <f t="shared" si="13"/>
        <v>-612071.54352304013</v>
      </c>
      <c r="T45" s="1053">
        <f t="shared" si="13"/>
        <v>-647224.07921502786</v>
      </c>
      <c r="U45" s="1053">
        <f t="shared" si="13"/>
        <v>-684137.99237689609</v>
      </c>
      <c r="V45" s="1053">
        <f t="shared" si="13"/>
        <v>-722895.57937932201</v>
      </c>
      <c r="W45" s="1053">
        <f t="shared" si="13"/>
        <v>-763582.82356920373</v>
      </c>
      <c r="X45" s="1053">
        <f t="shared" si="13"/>
        <v>-806289.55595130241</v>
      </c>
      <c r="Y45" s="1415">
        <f t="shared" si="13"/>
        <v>-851109.62273902493</v>
      </c>
    </row>
    <row r="46" spans="2:32" ht="26.4" x14ac:dyDescent="0.3">
      <c r="B46" s="964" t="s">
        <v>953</v>
      </c>
      <c r="C46" s="965"/>
      <c r="D46" s="959"/>
      <c r="E46" s="1473">
        <f>E45*15%</f>
        <v>-39953.872494688214</v>
      </c>
      <c r="F46" s="1053">
        <f>F45*15%</f>
        <v>-42563.909051238901</v>
      </c>
      <c r="G46" s="1053">
        <f t="shared" ref="G46:Y46" si="14">G45*15%</f>
        <v>-45312.026502277462</v>
      </c>
      <c r="H46" s="1053">
        <f t="shared" si="14"/>
        <v>-48204.870055017593</v>
      </c>
      <c r="I46" s="1053">
        <f t="shared" si="14"/>
        <v>-51249.388140878065</v>
      </c>
      <c r="J46" s="1053">
        <f t="shared" si="14"/>
        <v>-54452.845793782799</v>
      </c>
      <c r="K46" s="1053">
        <f t="shared" si="14"/>
        <v>-57822.838605371537</v>
      </c>
      <c r="L46" s="1053">
        <f t="shared" si="14"/>
        <v>-61367.307281596266</v>
      </c>
      <c r="M46" s="1053">
        <f t="shared" si="14"/>
        <v>-65094.552826207328</v>
      </c>
      <c r="N46" s="1053">
        <f t="shared" si="14"/>
        <v>-69013.252377696757</v>
      </c>
      <c r="O46" s="1053">
        <f t="shared" si="14"/>
        <v>-73132.47572738622</v>
      </c>
      <c r="P46" s="1053">
        <f t="shared" si="14"/>
        <v>-77461.702547499168</v>
      </c>
      <c r="Q46" s="1053">
        <f t="shared" si="14"/>
        <v>-82010.84035927034</v>
      </c>
      <c r="R46" s="1053">
        <f t="shared" si="14"/>
        <v>-86790.243272397507</v>
      </c>
      <c r="S46" s="1053">
        <f t="shared" si="14"/>
        <v>-91810.731528456017</v>
      </c>
      <c r="T46" s="1053">
        <f t="shared" si="14"/>
        <v>-97083.611882254176</v>
      </c>
      <c r="U46" s="1053">
        <f t="shared" si="14"/>
        <v>-102620.69885653441</v>
      </c>
      <c r="V46" s="1053">
        <f t="shared" si="14"/>
        <v>-108434.3369068983</v>
      </c>
      <c r="W46" s="1053">
        <f t="shared" si="14"/>
        <v>-114537.42353538056</v>
      </c>
      <c r="X46" s="1053">
        <f t="shared" si="14"/>
        <v>-120943.43339269535</v>
      </c>
      <c r="Y46" s="1415">
        <f t="shared" si="14"/>
        <v>-127666.44341085374</v>
      </c>
    </row>
    <row r="47" spans="2:32" ht="18" customHeight="1" x14ac:dyDescent="0.3">
      <c r="B47" s="969" t="s">
        <v>582</v>
      </c>
      <c r="C47" s="965"/>
      <c r="D47" s="959"/>
      <c r="E47" s="1473">
        <f>E46*$C$9*$D$9</f>
        <v>-1086745.3318555194</v>
      </c>
      <c r="F47" s="1053">
        <f>F46*$C$9*$D$9</f>
        <v>-1157738.326193698</v>
      </c>
      <c r="G47" s="1053">
        <f t="shared" ref="G47:Y47" si="15">G46*$C$9*$D$9</f>
        <v>-1232487.1208619468</v>
      </c>
      <c r="H47" s="1053">
        <f t="shared" si="15"/>
        <v>-1311172.4654964786</v>
      </c>
      <c r="I47" s="1053">
        <f t="shared" si="15"/>
        <v>-1393983.3574318832</v>
      </c>
      <c r="J47" s="1053">
        <f t="shared" si="15"/>
        <v>-1481117.4055908921</v>
      </c>
      <c r="K47" s="1053">
        <f t="shared" si="15"/>
        <v>-1572781.2100661057</v>
      </c>
      <c r="L47" s="1053">
        <f t="shared" si="15"/>
        <v>-1669190.7580594183</v>
      </c>
      <c r="M47" s="1053">
        <f t="shared" si="15"/>
        <v>-1770571.8368728394</v>
      </c>
      <c r="N47" s="1053">
        <f t="shared" si="15"/>
        <v>-1877160.4646733517</v>
      </c>
      <c r="O47" s="1053">
        <f t="shared" si="15"/>
        <v>-1989203.3397849051</v>
      </c>
      <c r="P47" s="1053">
        <f t="shared" si="15"/>
        <v>-2106958.3092919774</v>
      </c>
      <c r="Q47" s="1053">
        <f t="shared" si="15"/>
        <v>-2230694.8577721533</v>
      </c>
      <c r="R47" s="1053">
        <f t="shared" si="15"/>
        <v>-2360694.6170092123</v>
      </c>
      <c r="S47" s="1053">
        <f t="shared" si="15"/>
        <v>-2497251.8975740038</v>
      </c>
      <c r="T47" s="1053">
        <f t="shared" si="15"/>
        <v>-2640674.2431973135</v>
      </c>
      <c r="U47" s="1053">
        <f t="shared" si="15"/>
        <v>-2791283.0088977357</v>
      </c>
      <c r="V47" s="1053">
        <f t="shared" si="15"/>
        <v>-2949413.9638676336</v>
      </c>
      <c r="W47" s="1053">
        <f t="shared" si="15"/>
        <v>-3115417.9201623509</v>
      </c>
      <c r="X47" s="1053">
        <f t="shared" si="15"/>
        <v>-3289661.3882813137</v>
      </c>
      <c r="Y47" s="1415">
        <f t="shared" si="15"/>
        <v>-3472527.2607752215</v>
      </c>
    </row>
    <row r="48" spans="2:32" ht="18" customHeight="1" x14ac:dyDescent="0.3">
      <c r="B48" s="969"/>
      <c r="C48" s="958"/>
      <c r="D48" s="959"/>
      <c r="E48" s="966"/>
      <c r="F48" s="967"/>
      <c r="G48" s="967"/>
      <c r="H48" s="967"/>
      <c r="I48" s="967"/>
      <c r="J48" s="967"/>
      <c r="K48" s="967"/>
      <c r="L48" s="967"/>
      <c r="M48" s="967"/>
      <c r="N48" s="967"/>
      <c r="O48" s="967"/>
      <c r="P48" s="967"/>
      <c r="Q48" s="967"/>
      <c r="R48" s="967"/>
      <c r="S48" s="967"/>
      <c r="T48" s="967"/>
      <c r="U48" s="967"/>
      <c r="V48" s="967"/>
      <c r="W48" s="967"/>
      <c r="X48" s="967"/>
      <c r="Y48" s="968"/>
    </row>
    <row r="49" spans="2:32" s="1028" customFormat="1" ht="18" customHeight="1" x14ac:dyDescent="0.3">
      <c r="B49" s="1033" t="s">
        <v>863</v>
      </c>
      <c r="C49" s="601"/>
      <c r="D49" s="961"/>
      <c r="E49" s="1472">
        <f>E33+E39</f>
        <v>17049846.857707944</v>
      </c>
      <c r="F49" s="1407">
        <f t="shared" ref="F49:Y49" si="16">F33+F39</f>
        <v>17705065.92570623</v>
      </c>
      <c r="G49" s="1407">
        <f t="shared" si="16"/>
        <v>18385670.069773167</v>
      </c>
      <c r="H49" s="1407">
        <f t="shared" si="16"/>
        <v>19092649.864908662</v>
      </c>
      <c r="I49" s="1407">
        <f t="shared" si="16"/>
        <v>19827034.782795403</v>
      </c>
      <c r="J49" s="1407">
        <f t="shared" si="16"/>
        <v>20589894.727390021</v>
      </c>
      <c r="K49" s="1407">
        <f t="shared" si="16"/>
        <v>21382341.631415971</v>
      </c>
      <c r="L49" s="1407">
        <f t="shared" si="16"/>
        <v>22205531.116182797</v>
      </c>
      <c r="M49" s="1407">
        <f t="shared" si="16"/>
        <v>23060664.217253421</v>
      </c>
      <c r="N49" s="1407">
        <f t="shared" si="16"/>
        <v>23948989.178581674</v>
      </c>
      <c r="O49" s="1407">
        <f t="shared" si="16"/>
        <v>24871803.317847237</v>
      </c>
      <c r="P49" s="1407">
        <f t="shared" si="16"/>
        <v>25830454.965823963</v>
      </c>
      <c r="Q49" s="1407">
        <f t="shared" si="16"/>
        <v>26826345.48273094</v>
      </c>
      <c r="R49" s="1407">
        <f t="shared" si="16"/>
        <v>27860931.354633555</v>
      </c>
      <c r="S49" s="1407">
        <f t="shared" si="16"/>
        <v>28935726.37308434</v>
      </c>
      <c r="T49" s="1407">
        <f t="shared" si="16"/>
        <v>30052303.901320878</v>
      </c>
      <c r="U49" s="1407">
        <f t="shared" si="16"/>
        <v>31212299.230470844</v>
      </c>
      <c r="V49" s="1407">
        <f t="shared" si="16"/>
        <v>32417412.029351775</v>
      </c>
      <c r="W49" s="1407">
        <f t="shared" si="16"/>
        <v>33669408.891597159</v>
      </c>
      <c r="X49" s="1407">
        <f t="shared" si="16"/>
        <v>34970125.983989097</v>
      </c>
      <c r="Y49" s="1414">
        <f t="shared" si="16"/>
        <v>36321471.800033428</v>
      </c>
      <c r="Z49" s="424"/>
      <c r="AA49" s="424"/>
      <c r="AB49" s="424"/>
      <c r="AC49" s="424"/>
      <c r="AD49" s="424"/>
      <c r="AE49" s="424"/>
      <c r="AF49" s="424"/>
    </row>
    <row r="50" spans="2:32" s="1028" customFormat="1" ht="18" customHeight="1" x14ac:dyDescent="0.3">
      <c r="B50" s="1033" t="s">
        <v>862</v>
      </c>
      <c r="C50" s="601"/>
      <c r="D50" s="961"/>
      <c r="E50" s="1472">
        <f>E34+E40</f>
        <v>16813263.634455238</v>
      </c>
      <c r="F50" s="1407">
        <f t="shared" ref="F50:Y50" si="17">F34+F40</f>
        <v>17185149.902695537</v>
      </c>
      <c r="G50" s="1407">
        <f t="shared" si="17"/>
        <v>17565582.460577752</v>
      </c>
      <c r="H50" s="1407">
        <f t="shared" si="17"/>
        <v>17954764.775635712</v>
      </c>
      <c r="I50" s="1407">
        <f t="shared" si="17"/>
        <v>18352905.324038103</v>
      </c>
      <c r="J50" s="1407">
        <f t="shared" si="17"/>
        <v>18760217.717958704</v>
      </c>
      <c r="K50" s="1407">
        <f t="shared" si="17"/>
        <v>19176920.836292092</v>
      </c>
      <c r="L50" s="1407">
        <f t="shared" si="17"/>
        <v>19603238.958805606</v>
      </c>
      <c r="M50" s="1407">
        <f t="shared" si="17"/>
        <v>20039401.903820895</v>
      </c>
      <c r="N50" s="1407">
        <f t="shared" si="17"/>
        <v>20485645.169520877</v>
      </c>
      <c r="O50" s="1407">
        <f t="shared" si="17"/>
        <v>20942210.078980792</v>
      </c>
      <c r="P50" s="1407">
        <f t="shared" si="17"/>
        <v>21409343.929024644</v>
      </c>
      <c r="Q50" s="1407">
        <f t="shared" si="17"/>
        <v>21887300.143011298</v>
      </c>
      <c r="R50" s="1407">
        <f t="shared" si="17"/>
        <v>22376338.427657336</v>
      </c>
      <c r="S50" s="1407">
        <f t="shared" si="17"/>
        <v>22876724.934006844</v>
      </c>
      <c r="T50" s="1407">
        <f t="shared" si="17"/>
        <v>23388732.422661379</v>
      </c>
      <c r="U50" s="1407">
        <f t="shared" si="17"/>
        <v>23912640.433386575</v>
      </c>
      <c r="V50" s="1407">
        <f t="shared" si="17"/>
        <v>24448735.459215138</v>
      </c>
      <c r="W50" s="1407">
        <f t="shared" si="17"/>
        <v>24997311.125169296</v>
      </c>
      <c r="X50" s="1407">
        <f t="shared" si="17"/>
        <v>25558668.371729344</v>
      </c>
      <c r="Y50" s="1414">
        <f t="shared" si="17"/>
        <v>26133115.643178429</v>
      </c>
      <c r="Z50" s="424"/>
      <c r="AA50" s="424"/>
      <c r="AB50" s="424"/>
      <c r="AC50" s="424"/>
      <c r="AD50" s="424"/>
      <c r="AE50" s="424"/>
      <c r="AF50" s="424"/>
    </row>
    <row r="51" spans="2:32" ht="21" customHeight="1" x14ac:dyDescent="0.3">
      <c r="B51" s="1033" t="s">
        <v>485</v>
      </c>
      <c r="C51" s="965" t="s">
        <v>486</v>
      </c>
      <c r="D51" s="959"/>
      <c r="E51" s="1030">
        <f>E35+E41</f>
        <v>-236583.22325270658</v>
      </c>
      <c r="F51" s="1031">
        <f t="shared" ref="F51:Y51" si="18">F35+F41</f>
        <v>-519916.02301069081</v>
      </c>
      <c r="G51" s="1031">
        <f t="shared" si="18"/>
        <v>-820087.60919541272</v>
      </c>
      <c r="H51" s="1031">
        <f t="shared" si="18"/>
        <v>-1137885.0892729522</v>
      </c>
      <c r="I51" s="1031">
        <f t="shared" si="18"/>
        <v>-1474129.4587573011</v>
      </c>
      <c r="J51" s="1031">
        <f t="shared" si="18"/>
        <v>-1829677.0094313179</v>
      </c>
      <c r="K51" s="1031">
        <f t="shared" si="18"/>
        <v>-2205420.7951238779</v>
      </c>
      <c r="L51" s="1031">
        <f t="shared" si="18"/>
        <v>-2602292.157377189</v>
      </c>
      <c r="M51" s="1031">
        <f t="shared" si="18"/>
        <v>-3021262.3134325249</v>
      </c>
      <c r="N51" s="1031">
        <f t="shared" si="18"/>
        <v>-3463344.0090607945</v>
      </c>
      <c r="O51" s="1031">
        <f t="shared" si="18"/>
        <v>-3929593.2388664437</v>
      </c>
      <c r="P51" s="1031">
        <f t="shared" si="18"/>
        <v>-4421111.0367993182</v>
      </c>
      <c r="Q51" s="1031">
        <f t="shared" si="18"/>
        <v>-4939045.3397196429</v>
      </c>
      <c r="R51" s="1031">
        <f t="shared" si="18"/>
        <v>-5484592.9269762188</v>
      </c>
      <c r="S51" s="1031">
        <f t="shared" si="18"/>
        <v>-6059001.4390774965</v>
      </c>
      <c r="T51" s="1031">
        <f t="shared" si="18"/>
        <v>-6663571.4786594994</v>
      </c>
      <c r="U51" s="1031">
        <f t="shared" si="18"/>
        <v>-7299658.7970842663</v>
      </c>
      <c r="V51" s="1031">
        <f t="shared" si="18"/>
        <v>-7968676.5701366384</v>
      </c>
      <c r="W51" s="1031">
        <f t="shared" si="18"/>
        <v>-8672097.7664278671</v>
      </c>
      <c r="X51" s="1031">
        <f t="shared" si="18"/>
        <v>-9411457.6122597549</v>
      </c>
      <c r="Y51" s="1032">
        <f t="shared" si="18"/>
        <v>-10188356.156854995</v>
      </c>
    </row>
    <row r="52" spans="2:32" ht="23.25" customHeight="1" thickBot="1" x14ac:dyDescent="0.35">
      <c r="B52" s="1034" t="s">
        <v>581</v>
      </c>
      <c r="C52" s="975" t="s">
        <v>487</v>
      </c>
      <c r="D52" s="976"/>
      <c r="E52" s="1035">
        <f>E36+E42</f>
        <v>-6643180.278300331</v>
      </c>
      <c r="F52" s="1036">
        <f t="shared" ref="F52:Y52" si="19">F36+F42</f>
        <v>-12501308.937023722</v>
      </c>
      <c r="G52" s="1036">
        <f t="shared" si="19"/>
        <v>-18707537.640395179</v>
      </c>
      <c r="H52" s="1036">
        <f t="shared" si="19"/>
        <v>-25278174.102627389</v>
      </c>
      <c r="I52" s="1036">
        <f t="shared" si="19"/>
        <v>-32230229.865022264</v>
      </c>
      <c r="J52" s="1036">
        <f t="shared" si="19"/>
        <v>-39581449.609442808</v>
      </c>
      <c r="K52" s="1036">
        <f t="shared" si="19"/>
        <v>-47350341.672212422</v>
      </c>
      <c r="L52" s="1036">
        <f t="shared" si="19"/>
        <v>-55556209.807201624</v>
      </c>
      <c r="M52" s="1036">
        <f t="shared" si="19"/>
        <v>-64219186.24883306</v>
      </c>
      <c r="N52" s="1036">
        <f t="shared" si="19"/>
        <v>-73360266.127788097</v>
      </c>
      <c r="O52" s="1036">
        <f t="shared" si="19"/>
        <v>-83001343.294336125</v>
      </c>
      <c r="P52" s="1036">
        <f t="shared" si="19"/>
        <v>-93165247.606425628</v>
      </c>
      <c r="Q52" s="1036">
        <f t="shared" si="19"/>
        <v>-103875783.74199164</v>
      </c>
      <c r="R52" s="1036">
        <f t="shared" si="19"/>
        <v>-115157771.59733438</v>
      </c>
      <c r="S52" s="1036">
        <f t="shared" si="19"/>
        <v>-127037088.33593214</v>
      </c>
      <c r="T52" s="1036">
        <f t="shared" si="19"/>
        <v>-139540712.15464589</v>
      </c>
      <c r="U52" s="1036">
        <f t="shared" si="19"/>
        <v>-152696767.83699167</v>
      </c>
      <c r="V52" s="1036">
        <f t="shared" si="19"/>
        <v>-166534574.16596287</v>
      </c>
      <c r="W52" s="1036">
        <f t="shared" si="19"/>
        <v>-181084693.27182677</v>
      </c>
      <c r="X52" s="1036">
        <f t="shared" si="19"/>
        <v>-196378981.99336135</v>
      </c>
      <c r="Y52" s="1037">
        <f t="shared" si="19"/>
        <v>-212450645.33417574</v>
      </c>
    </row>
    <row r="53" spans="2:32" ht="21" customHeight="1" x14ac:dyDescent="0.3">
      <c r="B53" s="1003" t="s">
        <v>316</v>
      </c>
      <c r="C53" s="1038"/>
      <c r="D53" s="1038"/>
      <c r="E53" s="1038"/>
      <c r="F53" s="1038"/>
      <c r="G53" s="1038"/>
      <c r="H53" s="1038"/>
      <c r="I53" s="1038"/>
      <c r="J53" s="1038"/>
      <c r="K53" s="1038"/>
      <c r="L53" s="1038"/>
      <c r="M53" s="1038"/>
      <c r="N53" s="1038"/>
      <c r="O53" s="1038"/>
      <c r="P53" s="1038"/>
      <c r="Q53" s="1038"/>
      <c r="R53" s="1038"/>
      <c r="S53" s="1038"/>
      <c r="T53" s="1038"/>
      <c r="U53" s="1038"/>
      <c r="V53" s="1038"/>
    </row>
    <row r="54" spans="2:32" x14ac:dyDescent="0.3">
      <c r="B54" s="958"/>
      <c r="C54" s="958"/>
      <c r="D54" s="958"/>
      <c r="E54" s="967"/>
      <c r="F54" s="958"/>
      <c r="G54" s="958"/>
      <c r="H54" s="958"/>
      <c r="I54" s="958"/>
      <c r="J54" s="958"/>
      <c r="K54" s="958"/>
      <c r="L54" s="958"/>
      <c r="M54" s="958"/>
      <c r="N54" s="958"/>
      <c r="O54" s="958"/>
      <c r="P54" s="958"/>
      <c r="Q54" s="958"/>
      <c r="R54" s="958"/>
      <c r="S54" s="958"/>
      <c r="T54" s="958"/>
      <c r="U54" s="958"/>
      <c r="V54" s="958"/>
    </row>
    <row r="55" spans="2:32" ht="17.399999999999999" x14ac:dyDescent="0.3">
      <c r="B55" s="958"/>
      <c r="C55" s="958"/>
      <c r="D55" s="958"/>
      <c r="E55" s="1835" t="s">
        <v>704</v>
      </c>
      <c r="F55" s="1835"/>
      <c r="G55" s="1835"/>
      <c r="H55" s="1835"/>
      <c r="I55" s="1835"/>
      <c r="J55" s="1835"/>
      <c r="K55" s="1835"/>
      <c r="L55" s="1835"/>
      <c r="M55" s="958"/>
      <c r="N55" s="958"/>
      <c r="O55" s="958"/>
      <c r="P55" s="958"/>
      <c r="Q55" s="958"/>
      <c r="R55" s="958"/>
      <c r="S55" s="958"/>
      <c r="T55" s="958"/>
      <c r="U55" s="958"/>
      <c r="V55" s="1416" t="s">
        <v>606</v>
      </c>
    </row>
    <row r="56" spans="2:32" ht="17.399999999999999" x14ac:dyDescent="0.3">
      <c r="E56" s="1416" t="s">
        <v>858</v>
      </c>
      <c r="M56" s="1416" t="s">
        <v>857</v>
      </c>
      <c r="P56" s="958"/>
      <c r="Q56" s="958"/>
      <c r="R56" s="958"/>
      <c r="S56" s="958"/>
      <c r="T56" s="958"/>
      <c r="U56" s="958"/>
      <c r="V56" s="1416" t="s">
        <v>858</v>
      </c>
      <c r="W56" s="958"/>
      <c r="X56" s="958"/>
      <c r="Y56" s="958"/>
      <c r="Z56" s="1416" t="s">
        <v>857</v>
      </c>
    </row>
    <row r="57" spans="2:32" ht="14.4" thickBot="1" x14ac:dyDescent="0.35">
      <c r="C57" s="1039"/>
      <c r="E57" s="1040" t="s">
        <v>182</v>
      </c>
      <c r="F57" s="1040" t="s">
        <v>180</v>
      </c>
      <c r="G57" s="1592" t="s">
        <v>178</v>
      </c>
      <c r="H57" s="1592" t="s">
        <v>268</v>
      </c>
      <c r="I57" s="1592" t="s">
        <v>269</v>
      </c>
      <c r="J57" s="1592" t="s">
        <v>270</v>
      </c>
      <c r="K57" s="1592" t="s">
        <v>271</v>
      </c>
      <c r="L57" s="1592" t="s">
        <v>272</v>
      </c>
      <c r="M57" s="1041"/>
      <c r="N57" s="1041"/>
      <c r="O57" s="1054"/>
      <c r="P57" s="677"/>
      <c r="Q57" s="677"/>
      <c r="R57" s="677"/>
      <c r="S57" s="958"/>
      <c r="T57" s="958"/>
      <c r="U57" s="958"/>
      <c r="V57" s="958"/>
      <c r="W57" s="958"/>
      <c r="X57" s="958"/>
      <c r="Y57" s="958"/>
    </row>
    <row r="58" spans="2:32" ht="36.75" customHeight="1" x14ac:dyDescent="0.3">
      <c r="C58" s="1039"/>
      <c r="E58" s="1838" t="s">
        <v>7</v>
      </c>
      <c r="F58" s="1838" t="s">
        <v>275</v>
      </c>
      <c r="G58" s="1823" t="s">
        <v>337</v>
      </c>
      <c r="H58" s="1823"/>
      <c r="I58" s="1823"/>
      <c r="J58" s="1823" t="s">
        <v>600</v>
      </c>
      <c r="K58" s="1823"/>
      <c r="L58" s="1823"/>
      <c r="M58" s="1823" t="s">
        <v>864</v>
      </c>
      <c r="N58" s="1823"/>
      <c r="O58" s="1823"/>
      <c r="P58" s="1823" t="s">
        <v>865</v>
      </c>
      <c r="Q58" s="1823"/>
      <c r="R58" s="1823"/>
      <c r="S58" s="958"/>
      <c r="T58" s="958"/>
      <c r="U58" s="958"/>
      <c r="V58" s="1830" t="s">
        <v>385</v>
      </c>
      <c r="W58" s="1831"/>
      <c r="X58" s="1831"/>
      <c r="Y58" s="1832" t="s">
        <v>997</v>
      </c>
      <c r="Z58" s="1830" t="s">
        <v>385</v>
      </c>
      <c r="AA58" s="1831"/>
      <c r="AB58" s="1831"/>
      <c r="AC58" s="1832" t="s">
        <v>140</v>
      </c>
    </row>
    <row r="59" spans="2:32" ht="26.4" x14ac:dyDescent="0.3">
      <c r="C59" s="1039"/>
      <c r="E59" s="1839"/>
      <c r="F59" s="1839"/>
      <c r="G59" s="986" t="s">
        <v>468</v>
      </c>
      <c r="H59" s="986" t="s">
        <v>347</v>
      </c>
      <c r="I59" s="986" t="s">
        <v>5</v>
      </c>
      <c r="J59" s="1593" t="s">
        <v>468</v>
      </c>
      <c r="K59" s="1593" t="s">
        <v>347</v>
      </c>
      <c r="L59" s="1593" t="s">
        <v>5</v>
      </c>
      <c r="M59" s="1593" t="s">
        <v>468</v>
      </c>
      <c r="N59" s="1593" t="s">
        <v>347</v>
      </c>
      <c r="O59" s="1593" t="s">
        <v>5</v>
      </c>
      <c r="P59" s="1593" t="s">
        <v>468</v>
      </c>
      <c r="Q59" s="1593" t="s">
        <v>347</v>
      </c>
      <c r="R59" s="1593" t="s">
        <v>5</v>
      </c>
      <c r="S59" s="958"/>
      <c r="T59" s="958"/>
      <c r="U59" s="958"/>
      <c r="V59" s="1476" t="s">
        <v>897</v>
      </c>
      <c r="W59" s="1425" t="s">
        <v>898</v>
      </c>
      <c r="X59" s="1425" t="s">
        <v>899</v>
      </c>
      <c r="Y59" s="1833"/>
      <c r="Z59" s="1476" t="s">
        <v>897</v>
      </c>
      <c r="AA59" s="1425" t="s">
        <v>898</v>
      </c>
      <c r="AB59" s="1425" t="s">
        <v>899</v>
      </c>
      <c r="AC59" s="1833"/>
    </row>
    <row r="60" spans="2:32" ht="13.8" x14ac:dyDescent="0.3">
      <c r="E60" s="987">
        <v>4</v>
      </c>
      <c r="F60" s="988">
        <v>2023</v>
      </c>
      <c r="G60" s="989">
        <f t="array" ref="G60:G80">TRANSPOSE(E35:Y35)</f>
        <v>29775.926711881533</v>
      </c>
      <c r="H60" s="989">
        <f t="array" ref="H60:H80">TRANSPOSE(E41:Y41)</f>
        <v>-266359.14996458811</v>
      </c>
      <c r="I60" s="990">
        <f>SUM(G60:H60)</f>
        <v>-236583.22325270658</v>
      </c>
      <c r="J60" s="989">
        <f t="array" ref="J60:J80">TRANSPOSE(E36:Y36)</f>
        <v>601788.60073646507</v>
      </c>
      <c r="K60" s="989">
        <f t="array" ref="K60:K80">TRANSPOSE(E42:Y42)</f>
        <v>-7244968.8790367963</v>
      </c>
      <c r="L60" s="990">
        <f>SUM(J60:K60)</f>
        <v>-6643180.278300331</v>
      </c>
      <c r="M60" s="989">
        <f t="array" ref="M60:M80">TRANSPOSE(E33:Y33)</f>
        <v>15820094.093772767</v>
      </c>
      <c r="N60" s="989">
        <f t="array" ref="N60:N80">TRANSPOSE(E39:Y39)</f>
        <v>1229752.7639351764</v>
      </c>
      <c r="O60" s="989">
        <f t="array" ref="O60:O80">TRANSPOSE(E51:Y51)</f>
        <v>-236583.22325270658</v>
      </c>
      <c r="P60" s="991">
        <f t="array" ref="P60:P80">TRANSPOSE(E15:Y15)*($C$8*$D$8)+TRANSPOSE(E21:Y21)*($C$6*$D$6)+TRANSPOSE(E27:Y27)*($C$7*$D$7)</f>
        <v>320323911.87330431</v>
      </c>
      <c r="Q60" s="992">
        <f t="shared" ref="Q60:Q62" si="20">N60*$C$9*$D$9</f>
        <v>33449275.179036796</v>
      </c>
      <c r="R60" s="990">
        <f t="shared" ref="R60:R62" si="21">P60+Q60</f>
        <v>353773187.0523411</v>
      </c>
      <c r="V60" s="1477">
        <f t="array" ref="V60:V80">TRANSPOSE(E18:Y18)</f>
        <v>278528.94309212355</v>
      </c>
      <c r="W60" s="1056">
        <f t="array" ref="W60:W80">TRANSPOSE(E24:Y24)</f>
        <v>198688.67097256478</v>
      </c>
      <c r="X60" s="1056">
        <f t="array" ref="X60:X80">TRANSPOSE(E30:Y30)</f>
        <v>124570.98667177679</v>
      </c>
      <c r="Y60" s="1478">
        <f>K60+H92</f>
        <v>-8331714.210892316</v>
      </c>
      <c r="Z60" s="1477">
        <f t="array" ref="Z60:Z80">TRANSPOSE(E15:Y15)*($C$8*$D$8)</f>
        <v>159820301.64174199</v>
      </c>
      <c r="AA60" s="1056">
        <f t="array" ref="AA60:AA80">TRANSPOSE(E21:Y21)*($C$6*$D$6)</f>
        <v>89826570.673068479</v>
      </c>
      <c r="AB60" s="1056">
        <f t="array" ref="AB60:AB80">TRANSPOSE(E27:Y27)*($C$7*$D$7)</f>
        <v>70677039.558493868</v>
      </c>
      <c r="AC60" s="1478">
        <f t="array" ref="AC60:AC80">TRANSPOSE(E39:Y39)*($C$9*$D$9)</f>
        <v>33449275.179036796</v>
      </c>
    </row>
    <row r="61" spans="2:32" ht="13.8" x14ac:dyDescent="0.3">
      <c r="E61" s="987">
        <v>5</v>
      </c>
      <c r="F61" s="988">
        <f>F60+1</f>
        <v>2024</v>
      </c>
      <c r="G61" s="989">
        <v>-236156.6293357648</v>
      </c>
      <c r="H61" s="989">
        <v>-283759.39367492602</v>
      </c>
      <c r="I61" s="990">
        <f t="shared" ref="I61:I80" si="22">SUM(G61:H61)</f>
        <v>-519916.02301069081</v>
      </c>
      <c r="J61" s="989">
        <v>-4783053.4290657332</v>
      </c>
      <c r="K61" s="989">
        <v>-7718255.5079579875</v>
      </c>
      <c r="L61" s="990">
        <f t="shared" ref="L61:L80" si="23">SUM(J61:K61)</f>
        <v>-12501308.937023722</v>
      </c>
      <c r="M61" s="989">
        <v>16425984.899245054</v>
      </c>
      <c r="N61" s="989">
        <v>1279081.0264611747</v>
      </c>
      <c r="O61" s="989">
        <v>-519916.02301069081</v>
      </c>
      <c r="P61" s="991">
        <v>332613938.96962643</v>
      </c>
      <c r="Q61" s="992">
        <f t="shared" si="20"/>
        <v>34791003.919743948</v>
      </c>
      <c r="R61" s="990">
        <f t="shared" si="21"/>
        <v>367404942.88937038</v>
      </c>
      <c r="V61" s="1477">
        <v>-2412748.1788245928</v>
      </c>
      <c r="W61" s="1056">
        <v>-1304899.2602272537</v>
      </c>
      <c r="X61" s="1056">
        <v>-1065405.9900138865</v>
      </c>
      <c r="Y61" s="1478">
        <f t="shared" ref="Y61:Y80" si="24">K61+H93</f>
        <v>-8875993.8341516852</v>
      </c>
      <c r="Z61" s="1477">
        <v>166309550.63173732</v>
      </c>
      <c r="AA61" s="1056">
        <v>92764874.607392728</v>
      </c>
      <c r="AB61" s="1056">
        <v>73539513.730496392</v>
      </c>
      <c r="AC61" s="1478">
        <v>34791003.919743948</v>
      </c>
    </row>
    <row r="62" spans="2:32" ht="13.8" x14ac:dyDescent="0.3">
      <c r="E62" s="987">
        <v>6</v>
      </c>
      <c r="F62" s="988">
        <f t="shared" ref="F62:F80" si="25">F61+1</f>
        <v>2025</v>
      </c>
      <c r="G62" s="989">
        <v>-518007.43251356296</v>
      </c>
      <c r="H62" s="989">
        <v>-302080.17668184976</v>
      </c>
      <c r="I62" s="990">
        <f t="shared" si="22"/>
        <v>-820087.60919541272</v>
      </c>
      <c r="J62" s="989">
        <v>-10490956.834648866</v>
      </c>
      <c r="K62" s="989">
        <v>-8216580.8057463132</v>
      </c>
      <c r="L62" s="990">
        <f t="shared" si="23"/>
        <v>-18707537.640395179</v>
      </c>
      <c r="M62" s="989">
        <v>17055282.108686045</v>
      </c>
      <c r="N62" s="989">
        <v>1330387.9610871221</v>
      </c>
      <c r="O62" s="989">
        <v>-820087.60919541272</v>
      </c>
      <c r="P62" s="991">
        <v>345379498.52135074</v>
      </c>
      <c r="Q62" s="992">
        <f t="shared" si="20"/>
        <v>36186552.541569717</v>
      </c>
      <c r="R62" s="990">
        <f t="shared" si="21"/>
        <v>381566051.06292045</v>
      </c>
      <c r="V62" s="1477">
        <v>-5277412.8914898513</v>
      </c>
      <c r="W62" s="1056">
        <v>-2881736.8204542273</v>
      </c>
      <c r="X62" s="1056">
        <v>-2331807.1227047872</v>
      </c>
      <c r="Y62" s="1478">
        <f t="shared" si="24"/>
        <v>-9449067.9266082607</v>
      </c>
      <c r="Z62" s="1477">
        <v>173062285.24916279</v>
      </c>
      <c r="AA62" s="1056">
        <v>95799292.975851268</v>
      </c>
      <c r="AB62" s="1056">
        <v>76517920.296336651</v>
      </c>
      <c r="AC62" s="1478">
        <v>36186552.541569717</v>
      </c>
    </row>
    <row r="63" spans="2:32" ht="13.8" x14ac:dyDescent="0.3">
      <c r="E63" s="987">
        <v>7</v>
      </c>
      <c r="F63" s="988">
        <f t="shared" si="25"/>
        <v>2026</v>
      </c>
      <c r="G63" s="989">
        <v>-816519.28890616819</v>
      </c>
      <c r="H63" s="989">
        <v>-321365.80036678398</v>
      </c>
      <c r="I63" s="990">
        <f t="shared" si="22"/>
        <v>-1137885.0892729522</v>
      </c>
      <c r="J63" s="989">
        <v>-16537024.332650863</v>
      </c>
      <c r="K63" s="989">
        <v>-8741149.7699765246</v>
      </c>
      <c r="L63" s="990">
        <f t="shared" si="23"/>
        <v>-25278174.102627389</v>
      </c>
      <c r="M63" s="989">
        <v>17708896.92792514</v>
      </c>
      <c r="N63" s="989">
        <v>1383752.936983523</v>
      </c>
      <c r="O63" s="989">
        <v>-1137885.0892729522</v>
      </c>
      <c r="P63" s="991">
        <v>358639128.27900141</v>
      </c>
      <c r="Q63" s="992">
        <f>N63*$C$9*$D$9</f>
        <v>37638079.885951824</v>
      </c>
      <c r="R63" s="990">
        <f>P63+Q63</f>
        <v>396277208.16495323</v>
      </c>
      <c r="V63" s="1477">
        <v>-8324026.2433891352</v>
      </c>
      <c r="W63" s="1056">
        <v>-4534603.6028387304</v>
      </c>
      <c r="X63" s="1056">
        <v>-3678394.486422997</v>
      </c>
      <c r="Y63" s="1478">
        <f t="shared" si="24"/>
        <v>-10052322.235473003</v>
      </c>
      <c r="Z63" s="1477">
        <v>180089203.90857607</v>
      </c>
      <c r="AA63" s="1056">
        <v>98932969.763768792</v>
      </c>
      <c r="AB63" s="1056">
        <v>79616954.606656566</v>
      </c>
      <c r="AC63" s="1478">
        <v>37638079.885951824</v>
      </c>
    </row>
    <row r="64" spans="2:32" ht="13.8" x14ac:dyDescent="0.3">
      <c r="E64" s="987">
        <v>8</v>
      </c>
      <c r="F64" s="988">
        <f t="shared" si="25"/>
        <v>2027</v>
      </c>
      <c r="G64" s="989">
        <v>-1132466.8711514473</v>
      </c>
      <c r="H64" s="989">
        <v>-341662.5876058538</v>
      </c>
      <c r="I64" s="990">
        <f t="shared" si="22"/>
        <v>-1474129.4587573011</v>
      </c>
      <c r="J64" s="989">
        <v>-22937007.482143041</v>
      </c>
      <c r="K64" s="989">
        <v>-9293222.3828792237</v>
      </c>
      <c r="L64" s="990">
        <f t="shared" si="23"/>
        <v>-32230229.865022264</v>
      </c>
      <c r="M64" s="989">
        <v>18387776.275791269</v>
      </c>
      <c r="N64" s="989">
        <v>1439258.5070041344</v>
      </c>
      <c r="O64" s="989">
        <v>-1474129.4587573011</v>
      </c>
      <c r="P64" s="991">
        <v>372412093.39294028</v>
      </c>
      <c r="Q64" s="992">
        <f t="shared" ref="Q64:Q80" si="26">N64*$C$9*$D$9</f>
        <v>39147831.390512452</v>
      </c>
      <c r="R64" s="990">
        <f t="shared" ref="R64:R80" si="27">P64+Q64</f>
        <v>411559924.78345275</v>
      </c>
      <c r="V64" s="1477">
        <v>-11561532.971072167</v>
      </c>
      <c r="W64" s="1056">
        <v>-6266376.2357079713</v>
      </c>
      <c r="X64" s="1056">
        <v>-5109098.2753629023</v>
      </c>
      <c r="Y64" s="1478">
        <f t="shared" si="24"/>
        <v>-10687205.740311107</v>
      </c>
      <c r="Z64" s="1477">
        <v>187401439.41663095</v>
      </c>
      <c r="AA64" s="1056">
        <v>102169151.7989182</v>
      </c>
      <c r="AB64" s="1056">
        <v>82841502.177391112</v>
      </c>
      <c r="AC64" s="1478">
        <v>39147831.390512452</v>
      </c>
    </row>
    <row r="65" spans="5:29" ht="13.8" x14ac:dyDescent="0.3">
      <c r="E65" s="987">
        <v>9</v>
      </c>
      <c r="F65" s="988">
        <f t="shared" si="25"/>
        <v>2028</v>
      </c>
      <c r="G65" s="989">
        <v>-1466658.0374727659</v>
      </c>
      <c r="H65" s="989">
        <v>-363018.97195855202</v>
      </c>
      <c r="I65" s="990">
        <f t="shared" si="22"/>
        <v>-1829677.0094313179</v>
      </c>
      <c r="J65" s="989">
        <v>-29707333.572170194</v>
      </c>
      <c r="K65" s="989">
        <v>-9874116.0372726154</v>
      </c>
      <c r="L65" s="990">
        <f t="shared" si="23"/>
        <v>-39581449.609442808</v>
      </c>
      <c r="M65" s="989">
        <v>19092904.191999067</v>
      </c>
      <c r="N65" s="989">
        <v>1496990.5353909545</v>
      </c>
      <c r="O65" s="989">
        <v>-1829677.0094313179</v>
      </c>
      <c r="P65" s="991">
        <v>386718415.11707079</v>
      </c>
      <c r="Q65" s="992">
        <f t="shared" si="26"/>
        <v>40718142.562633961</v>
      </c>
      <c r="R65" s="990">
        <f t="shared" si="27"/>
        <v>427436557.67970479</v>
      </c>
      <c r="V65" s="1477">
        <v>-14999277.934117837</v>
      </c>
      <c r="W65" s="1056">
        <v>-8080031.6541014798</v>
      </c>
      <c r="X65" s="1056">
        <v>-6628023.9839508785</v>
      </c>
      <c r="Y65" s="1478">
        <f t="shared" si="24"/>
        <v>-11355233.442863507</v>
      </c>
      <c r="Z65" s="1477">
        <v>195010576.60987738</v>
      </c>
      <c r="AA65" s="1056">
        <v>105511192.11558522</v>
      </c>
      <c r="AB65" s="1056">
        <v>86196646.391608194</v>
      </c>
      <c r="AC65" s="1478">
        <v>40718142.562633961</v>
      </c>
    </row>
    <row r="66" spans="5:29" ht="13.8" x14ac:dyDescent="0.3">
      <c r="E66" s="987">
        <v>10</v>
      </c>
      <c r="F66" s="988">
        <f t="shared" si="25"/>
        <v>2029</v>
      </c>
      <c r="G66" s="989">
        <v>-1819935.204421401</v>
      </c>
      <c r="H66" s="989">
        <v>-385485.59070247691</v>
      </c>
      <c r="I66" s="990">
        <f t="shared" si="22"/>
        <v>-2205420.7951238779</v>
      </c>
      <c r="J66" s="989">
        <v>-36865133.60510505</v>
      </c>
      <c r="K66" s="989">
        <v>-10485208.067107372</v>
      </c>
      <c r="L66" s="990">
        <f t="shared" si="23"/>
        <v>-47350341.672212422</v>
      </c>
      <c r="M66" s="989">
        <v>19825303.300814211</v>
      </c>
      <c r="N66" s="989">
        <v>1557038.3306017588</v>
      </c>
      <c r="O66" s="989">
        <v>-2205420.7951238779</v>
      </c>
      <c r="P66" s="991">
        <v>401578900.65066862</v>
      </c>
      <c r="Q66" s="992">
        <f t="shared" si="26"/>
        <v>42351442.592367835</v>
      </c>
      <c r="R66" s="990">
        <f t="shared" si="27"/>
        <v>443930343.24303645</v>
      </c>
      <c r="V66" s="1477">
        <v>-18647023.237719055</v>
      </c>
      <c r="W66" s="1056">
        <v>-9978650.479852749</v>
      </c>
      <c r="X66" s="1056">
        <v>-8239459.8875332475</v>
      </c>
      <c r="Y66" s="1478">
        <f t="shared" si="24"/>
        <v>-12057989.277173478</v>
      </c>
      <c r="Z66" s="1477">
        <v>202928670.70871577</v>
      </c>
      <c r="AA66" s="1056">
        <v>108962553.42867404</v>
      </c>
      <c r="AB66" s="1056">
        <v>89687676.513278872</v>
      </c>
      <c r="AC66" s="1478">
        <v>42351442.592367835</v>
      </c>
    </row>
    <row r="67" spans="5:29" ht="13.8" x14ac:dyDescent="0.3">
      <c r="E67" s="987">
        <v>11</v>
      </c>
      <c r="F67" s="988">
        <f t="shared" si="25"/>
        <v>2030</v>
      </c>
      <c r="G67" s="989">
        <v>-2193176.7754998803</v>
      </c>
      <c r="H67" s="989">
        <v>-409115.38187730848</v>
      </c>
      <c r="I67" s="990">
        <f t="shared" si="22"/>
        <v>-2602292.157377189</v>
      </c>
      <c r="J67" s="989">
        <v>-44428271.420138836</v>
      </c>
      <c r="K67" s="989">
        <v>-11127938.38706279</v>
      </c>
      <c r="L67" s="990">
        <f t="shared" si="23"/>
        <v>-55556209.807201624</v>
      </c>
      <c r="M67" s="989">
        <v>20586036.332717139</v>
      </c>
      <c r="N67" s="989">
        <v>1619494.7834656565</v>
      </c>
      <c r="O67" s="989">
        <v>-2602292.157377189</v>
      </c>
      <c r="P67" s="991">
        <v>417015174.16365045</v>
      </c>
      <c r="Q67" s="992">
        <f t="shared" si="26"/>
        <v>44050258.110265851</v>
      </c>
      <c r="R67" s="990">
        <f t="shared" si="27"/>
        <v>461065432.2739163</v>
      </c>
      <c r="V67" s="1477">
        <v>-22514966.07128951</v>
      </c>
      <c r="W67" s="1056">
        <v>-11965420.513813607</v>
      </c>
      <c r="X67" s="1056">
        <v>-9947884.835035719</v>
      </c>
      <c r="Y67" s="1478">
        <f t="shared" si="24"/>
        <v>-12797129.145122208</v>
      </c>
      <c r="Z67" s="1477">
        <v>211168266.41658476</v>
      </c>
      <c r="AA67" s="1056">
        <v>112526811.72145423</v>
      </c>
      <c r="AB67" s="1056">
        <v>93320096.025611475</v>
      </c>
      <c r="AC67" s="1478">
        <v>44050258.110265851</v>
      </c>
    </row>
    <row r="68" spans="5:29" ht="13.8" x14ac:dyDescent="0.3">
      <c r="E68" s="987">
        <v>12</v>
      </c>
      <c r="F68" s="988">
        <f t="shared" si="25"/>
        <v>2031</v>
      </c>
      <c r="G68" s="989">
        <v>-2587298.6279244758</v>
      </c>
      <c r="H68" s="989">
        <v>-433963.68550804886</v>
      </c>
      <c r="I68" s="990">
        <f t="shared" si="22"/>
        <v>-3021262.3134325249</v>
      </c>
      <c r="J68" s="989">
        <v>-52415374.003014132</v>
      </c>
      <c r="K68" s="989">
        <v>-11803812.245818928</v>
      </c>
      <c r="L68" s="990">
        <f t="shared" si="23"/>
        <v>-64219186.24883306</v>
      </c>
      <c r="M68" s="989">
        <v>21376207.706373025</v>
      </c>
      <c r="N68" s="989">
        <v>1684456.5108803955</v>
      </c>
      <c r="O68" s="989">
        <v>-3021262.3134325249</v>
      </c>
      <c r="P68" s="991">
        <v>433049709.0524013</v>
      </c>
      <c r="Q68" s="992">
        <f t="shared" si="26"/>
        <v>45817217.095946759</v>
      </c>
      <c r="R68" s="990">
        <f t="shared" si="27"/>
        <v>478866926.14834809</v>
      </c>
      <c r="V68" s="1477">
        <v>-26613757.292658232</v>
      </c>
      <c r="W68" s="1056">
        <v>-14043640.3439146</v>
      </c>
      <c r="X68" s="1056">
        <v>-11757976.366441304</v>
      </c>
      <c r="Y68" s="1478">
        <f t="shared" si="24"/>
        <v>-13574384.082691766</v>
      </c>
      <c r="Z68" s="1477">
        <v>219742417.79464087</v>
      </c>
      <c r="AA68" s="1056">
        <v>116207659.95066582</v>
      </c>
      <c r="AB68" s="1056">
        <v>97099631.307094634</v>
      </c>
      <c r="AC68" s="1478">
        <v>45817217.095946759</v>
      </c>
    </row>
    <row r="69" spans="5:29" ht="13.8" x14ac:dyDescent="0.3">
      <c r="E69" s="987">
        <v>13</v>
      </c>
      <c r="F69" s="988">
        <f t="shared" si="25"/>
        <v>2032</v>
      </c>
      <c r="G69" s="989">
        <v>-3003255.6598761491</v>
      </c>
      <c r="H69" s="989">
        <v>-460088.34918464511</v>
      </c>
      <c r="I69" s="990">
        <f t="shared" si="22"/>
        <v>-3463344.0090607945</v>
      </c>
      <c r="J69" s="989">
        <v>-60845863.029965743</v>
      </c>
      <c r="K69" s="989">
        <v>-12514403.097822346</v>
      </c>
      <c r="L69" s="990">
        <f t="shared" si="23"/>
        <v>-73360266.127788097</v>
      </c>
      <c r="M69" s="989">
        <v>22196965.173307978</v>
      </c>
      <c r="N69" s="989">
        <v>1752024.0052736956</v>
      </c>
      <c r="O69" s="989">
        <v>-3463344.0090607945</v>
      </c>
      <c r="P69" s="991">
        <v>449705861.47516608</v>
      </c>
      <c r="Q69" s="992">
        <f t="shared" si="26"/>
        <v>47655052.94344452</v>
      </c>
      <c r="R69" s="990">
        <f t="shared" si="27"/>
        <v>497360914.41861057</v>
      </c>
      <c r="V69" s="1477">
        <v>-30954520.788629867</v>
      </c>
      <c r="W69" s="1056">
        <v>-16216723.072875684</v>
      </c>
      <c r="X69" s="1056">
        <v>-13674619.16846019</v>
      </c>
      <c r="Y69" s="1478">
        <f t="shared" si="24"/>
        <v>-14391563.562495697</v>
      </c>
      <c r="Z69" s="1477">
        <v>228664708.943418</v>
      </c>
      <c r="AA69" s="1056">
        <v>120008911.87282152</v>
      </c>
      <c r="AB69" s="1056">
        <v>101032240.65892652</v>
      </c>
      <c r="AC69" s="1478">
        <v>47655052.94344452</v>
      </c>
    </row>
    <row r="70" spans="5:29" ht="13.8" x14ac:dyDescent="0.3">
      <c r="E70" s="987">
        <v>14</v>
      </c>
      <c r="F70" s="988">
        <f t="shared" si="25"/>
        <v>2033</v>
      </c>
      <c r="G70" s="989">
        <v>-3442043.4006838687</v>
      </c>
      <c r="H70" s="989">
        <v>-487549.83818257484</v>
      </c>
      <c r="I70" s="990">
        <f t="shared" si="22"/>
        <v>-3929593.2388664437</v>
      </c>
      <c r="J70" s="989">
        <v>-69739987.695770085</v>
      </c>
      <c r="K70" s="989">
        <v>-13261355.598566035</v>
      </c>
      <c r="L70" s="990">
        <f t="shared" si="23"/>
        <v>-83001343.294336125</v>
      </c>
      <c r="M70" s="989">
        <v>23049501.527787406</v>
      </c>
      <c r="N70" s="989">
        <v>1822301.7900598312</v>
      </c>
      <c r="O70" s="989">
        <v>-3929593.2388664437</v>
      </c>
      <c r="P70" s="991">
        <v>467007905.21796548</v>
      </c>
      <c r="Q70" s="992">
        <f t="shared" si="26"/>
        <v>49566608.689627409</v>
      </c>
      <c r="R70" s="990">
        <f t="shared" si="27"/>
        <v>516574513.90759289</v>
      </c>
      <c r="V70" s="1477">
        <v>-35548873.643951356</v>
      </c>
      <c r="W70" s="1056">
        <v>-18488200.169507593</v>
      </c>
      <c r="X70" s="1056">
        <v>-15702913.882311132</v>
      </c>
      <c r="Y70" s="1478">
        <f t="shared" si="24"/>
        <v>-15250558.93835094</v>
      </c>
      <c r="Z70" s="1477">
        <v>237949275.52423272</v>
      </c>
      <c r="AA70" s="1056">
        <v>123934505.99567059</v>
      </c>
      <c r="AB70" s="1056">
        <v>105124123.69806215</v>
      </c>
      <c r="AC70" s="1478">
        <v>49566608.689627409</v>
      </c>
    </row>
    <row r="71" spans="5:29" ht="13.8" x14ac:dyDescent="0.3">
      <c r="E71" s="987">
        <v>15</v>
      </c>
      <c r="F71" s="988">
        <f t="shared" si="25"/>
        <v>2034</v>
      </c>
      <c r="G71" s="989">
        <v>-3904699.6864826567</v>
      </c>
      <c r="H71" s="989">
        <v>-516411.35031666118</v>
      </c>
      <c r="I71" s="990">
        <f t="shared" si="22"/>
        <v>-4421111.0367993182</v>
      </c>
      <c r="J71" s="989">
        <v>-79118858.877812445</v>
      </c>
      <c r="K71" s="989">
        <v>-14046388.728613183</v>
      </c>
      <c r="L71" s="990">
        <f t="shared" si="23"/>
        <v>-93165247.606425628</v>
      </c>
      <c r="M71" s="989">
        <v>23935056.384492025</v>
      </c>
      <c r="N71" s="989">
        <v>1895398.5813319392</v>
      </c>
      <c r="O71" s="989">
        <v>-4421111.0367993182</v>
      </c>
      <c r="P71" s="991">
        <v>484981067.94403672</v>
      </c>
      <c r="Q71" s="992">
        <f t="shared" si="26"/>
        <v>51554841.412228748</v>
      </c>
      <c r="R71" s="990">
        <f t="shared" si="27"/>
        <v>536535909.35626549</v>
      </c>
      <c r="V71" s="1477">
        <v>-40408947.152036831</v>
      </c>
      <c r="W71" s="1056">
        <v>-20861725.447672475</v>
      </c>
      <c r="X71" s="1056">
        <v>-17848186.278103139</v>
      </c>
      <c r="Y71" s="1478">
        <f t="shared" si="24"/>
        <v>-16153347.03790516</v>
      </c>
      <c r="Z71" s="1477">
        <v>247610827.15443218</v>
      </c>
      <c r="AA71" s="1056">
        <v>127988509.65891846</v>
      </c>
      <c r="AB71" s="1056">
        <v>109381731.13068609</v>
      </c>
      <c r="AC71" s="1478">
        <v>51554841.412228748</v>
      </c>
    </row>
    <row r="72" spans="5:29" ht="13.8" x14ac:dyDescent="0.3">
      <c r="E72" s="987">
        <v>16</v>
      </c>
      <c r="F72" s="988">
        <f t="shared" si="25"/>
        <v>2035</v>
      </c>
      <c r="G72" s="989">
        <v>-4392306.403991174</v>
      </c>
      <c r="H72" s="989">
        <v>-546738.93572846893</v>
      </c>
      <c r="I72" s="990">
        <f t="shared" si="22"/>
        <v>-4939045.3397196429</v>
      </c>
      <c r="J72" s="989">
        <v>-89004484.690177277</v>
      </c>
      <c r="K72" s="989">
        <v>-14871299.051814355</v>
      </c>
      <c r="L72" s="990">
        <f t="shared" si="23"/>
        <v>-103875783.74199164</v>
      </c>
      <c r="M72" s="989">
        <v>24854918.026690755</v>
      </c>
      <c r="N72" s="989">
        <v>1971427.4560401854</v>
      </c>
      <c r="O72" s="989">
        <v>-4939045.3397196429</v>
      </c>
      <c r="P72" s="991">
        <v>503651568.88191372</v>
      </c>
      <c r="Q72" s="992">
        <f t="shared" si="26"/>
        <v>53622826.804293044</v>
      </c>
      <c r="R72" s="990">
        <f t="shared" si="27"/>
        <v>557274395.68620682</v>
      </c>
      <c r="V72" s="1477">
        <v>-45547408.702172242</v>
      </c>
      <c r="W72" s="1056">
        <v>-23341079.17710682</v>
      </c>
      <c r="X72" s="1056">
        <v>-20115996.810898215</v>
      </c>
      <c r="Y72" s="1478">
        <f t="shared" si="24"/>
        <v>-17101993.909586508</v>
      </c>
      <c r="Z72" s="1477">
        <v>257664670.7119652</v>
      </c>
      <c r="AA72" s="1056">
        <v>132175123.24843012</v>
      </c>
      <c r="AB72" s="1056">
        <v>113811774.92151837</v>
      </c>
      <c r="AC72" s="1478">
        <v>53622826.804293044</v>
      </c>
    </row>
    <row r="73" spans="5:29" ht="13.8" x14ac:dyDescent="0.3">
      <c r="E73" s="987">
        <v>17</v>
      </c>
      <c r="F73" s="988">
        <f t="shared" si="25"/>
        <v>2036</v>
      </c>
      <c r="G73" s="989">
        <v>-4905991.3051602356</v>
      </c>
      <c r="H73" s="989">
        <v>-578601.62181598344</v>
      </c>
      <c r="I73" s="990">
        <f t="shared" si="22"/>
        <v>-5484592.9269762188</v>
      </c>
      <c r="J73" s="989">
        <v>-99419807.483939633</v>
      </c>
      <c r="K73" s="989">
        <v>-15737964.113394748</v>
      </c>
      <c r="L73" s="990">
        <f t="shared" si="23"/>
        <v>-115157771.59733438</v>
      </c>
      <c r="M73" s="989">
        <v>25810425.32771761</v>
      </c>
      <c r="N73" s="989">
        <v>2050506.0269159463</v>
      </c>
      <c r="O73" s="989">
        <v>-5484592.9269762188</v>
      </c>
      <c r="P73" s="991">
        <v>523046658.00946712</v>
      </c>
      <c r="Q73" s="992">
        <f t="shared" si="26"/>
        <v>55773763.932113737</v>
      </c>
      <c r="R73" s="990">
        <f t="shared" si="27"/>
        <v>578820421.94158089</v>
      </c>
      <c r="V73" s="1477">
        <v>-50977484.579340115</v>
      </c>
      <c r="W73" s="1056">
        <v>-25930172.33044681</v>
      </c>
      <c r="X73" s="1056">
        <v>-22512150.574152712</v>
      </c>
      <c r="Y73" s="1478">
        <f t="shared" si="24"/>
        <v>-18098658.73040396</v>
      </c>
      <c r="Z73" s="1477">
        <v>268126734.58619824</v>
      </c>
      <c r="AA73" s="1056">
        <v>136498684.54828387</v>
      </c>
      <c r="AB73" s="1056">
        <v>118421238.87498496</v>
      </c>
      <c r="AC73" s="1478">
        <v>55773763.932113737</v>
      </c>
    </row>
    <row r="74" spans="5:29" ht="13.8" x14ac:dyDescent="0.3">
      <c r="E74" s="987">
        <v>18</v>
      </c>
      <c r="F74" s="988">
        <f t="shared" si="25"/>
        <v>2037</v>
      </c>
      <c r="G74" s="989">
        <v>-5446929.8955544569</v>
      </c>
      <c r="H74" s="989">
        <v>-612071.54352304013</v>
      </c>
      <c r="I74" s="990">
        <f t="shared" si="22"/>
        <v>-6059001.4390774965</v>
      </c>
      <c r="J74" s="989">
        <v>-110388742.35210544</v>
      </c>
      <c r="K74" s="989">
        <v>-16648345.983826691</v>
      </c>
      <c r="L74" s="990">
        <f t="shared" si="23"/>
        <v>-127037088.33593214</v>
      </c>
      <c r="M74" s="989">
        <v>26802969.748671722</v>
      </c>
      <c r="N74" s="989">
        <v>2132756.6244126181</v>
      </c>
      <c r="O74" s="989">
        <v>-6059001.4390774965</v>
      </c>
      <c r="P74" s="991">
        <v>543194656.79351592</v>
      </c>
      <c r="Q74" s="992">
        <f t="shared" si="26"/>
        <v>58010980.184023209</v>
      </c>
      <c r="R74" s="990">
        <f t="shared" si="27"/>
        <v>601205636.97753918</v>
      </c>
      <c r="V74" s="1477">
        <v>-56712983.714290082</v>
      </c>
      <c r="W74" s="1056">
        <v>-28633050.970939569</v>
      </c>
      <c r="X74" s="1056">
        <v>-25042707.66687578</v>
      </c>
      <c r="Y74" s="1478">
        <f t="shared" si="24"/>
        <v>-19145597.881400697</v>
      </c>
      <c r="Z74" s="1477">
        <v>279013593.91339773</v>
      </c>
      <c r="AA74" s="1056">
        <v>140963673.23518425</v>
      </c>
      <c r="AB74" s="1056">
        <v>123217389.64493392</v>
      </c>
      <c r="AC74" s="1478">
        <v>58010980.184023209</v>
      </c>
    </row>
    <row r="75" spans="5:29" ht="13.8" x14ac:dyDescent="0.3">
      <c r="E75" s="987">
        <v>19</v>
      </c>
      <c r="F75" s="988">
        <f t="shared" si="25"/>
        <v>2038</v>
      </c>
      <c r="G75" s="989">
        <v>-6016347.399444472</v>
      </c>
      <c r="H75" s="989">
        <v>-647224.07921502786</v>
      </c>
      <c r="I75" s="990">
        <f t="shared" si="22"/>
        <v>-6663571.4786594994</v>
      </c>
      <c r="J75" s="989">
        <v>-121936217.19999714</v>
      </c>
      <c r="K75" s="989">
        <v>-17604494.954648755</v>
      </c>
      <c r="L75" s="990">
        <f t="shared" si="23"/>
        <v>-139540712.15464589</v>
      </c>
      <c r="M75" s="989">
        <v>27833997.415376391</v>
      </c>
      <c r="N75" s="989">
        <v>2218306.4859444867</v>
      </c>
      <c r="O75" s="989">
        <v>-6663571.4786594994</v>
      </c>
      <c r="P75" s="991">
        <v>564125000.54700279</v>
      </c>
      <c r="Q75" s="992">
        <f t="shared" si="26"/>
        <v>60337936.417690039</v>
      </c>
      <c r="R75" s="990">
        <f t="shared" si="27"/>
        <v>624462936.96469283</v>
      </c>
      <c r="V75" s="1477">
        <v>-62768322.423016757</v>
      </c>
      <c r="W75" s="1056">
        <v>-31453900.785469528</v>
      </c>
      <c r="X75" s="1056">
        <v>-27713993.991510857</v>
      </c>
      <c r="Y75" s="1478">
        <f t="shared" si="24"/>
        <v>-20245169.19784607</v>
      </c>
      <c r="Z75" s="1477">
        <v>290342496.83685821</v>
      </c>
      <c r="AA75" s="1056">
        <v>145574715.51989126</v>
      </c>
      <c r="AB75" s="1056">
        <v>128207788.19025335</v>
      </c>
      <c r="AC75" s="1478">
        <v>60337936.417690039</v>
      </c>
    </row>
    <row r="76" spans="5:29" ht="13.8" x14ac:dyDescent="0.3">
      <c r="E76" s="987">
        <v>20</v>
      </c>
      <c r="F76" s="988">
        <f t="shared" si="25"/>
        <v>2039</v>
      </c>
      <c r="G76" s="989">
        <v>-6615520.8047073707</v>
      </c>
      <c r="H76" s="989">
        <v>-684137.99237689609</v>
      </c>
      <c r="I76" s="990">
        <f t="shared" si="22"/>
        <v>-7299658.7970842663</v>
      </c>
      <c r="J76" s="989">
        <v>-134088214.44434008</v>
      </c>
      <c r="K76" s="989">
        <v>-18608553.392651573</v>
      </c>
      <c r="L76" s="990">
        <f t="shared" si="23"/>
        <v>-152696767.83699167</v>
      </c>
      <c r="M76" s="989">
        <v>28905011.277754419</v>
      </c>
      <c r="N76" s="989">
        <v>2307287.9527164232</v>
      </c>
      <c r="O76" s="989">
        <v>-7299658.7970842663</v>
      </c>
      <c r="P76" s="991">
        <v>585868282.46820736</v>
      </c>
      <c r="Q76" s="992">
        <f t="shared" si="26"/>
        <v>62758232.31388671</v>
      </c>
      <c r="R76" s="990">
        <f t="shared" si="27"/>
        <v>648626514.78209412</v>
      </c>
      <c r="V76" s="1477">
        <v>-69158550.176415548</v>
      </c>
      <c r="W76" s="1056">
        <v>-34397051.76768294</v>
      </c>
      <c r="X76" s="1056">
        <v>-30532612.500241596</v>
      </c>
      <c r="Y76" s="1478">
        <f t="shared" si="24"/>
        <v>-21399836.401549309</v>
      </c>
      <c r="Z76" s="1477">
        <v>302131391.83328217</v>
      </c>
      <c r="AA76" s="1056">
        <v>150336588.94047451</v>
      </c>
      <c r="AB76" s="1056">
        <v>133400301.69445074</v>
      </c>
      <c r="AC76" s="1478">
        <v>62758232.31388671</v>
      </c>
    </row>
    <row r="77" spans="5:29" ht="13.8" x14ac:dyDescent="0.3">
      <c r="E77" s="987">
        <v>21</v>
      </c>
      <c r="F77" s="988">
        <f t="shared" si="25"/>
        <v>2040</v>
      </c>
      <c r="G77" s="989">
        <v>-7245780.9907573164</v>
      </c>
      <c r="H77" s="989">
        <v>-722895.57937932201</v>
      </c>
      <c r="I77" s="990">
        <f t="shared" si="22"/>
        <v>-7968676.5701366384</v>
      </c>
      <c r="J77" s="989">
        <v>-146871814.40684533</v>
      </c>
      <c r="K77" s="989">
        <v>-19662759.759117559</v>
      </c>
      <c r="L77" s="990">
        <f t="shared" si="23"/>
        <v>-166534574.16596287</v>
      </c>
      <c r="M77" s="989">
        <v>30017573.354902908</v>
      </c>
      <c r="N77" s="989">
        <v>2399838.6744488673</v>
      </c>
      <c r="O77" s="989">
        <v>-7968676.5701366384</v>
      </c>
      <c r="P77" s="991">
        <v>608456299.42904615</v>
      </c>
      <c r="Q77" s="992">
        <f t="shared" si="26"/>
        <v>65275611.945009187</v>
      </c>
      <c r="R77" s="990">
        <f t="shared" si="27"/>
        <v>673731911.37405539</v>
      </c>
      <c r="V77" s="1477">
        <v>-75899376.44255209</v>
      </c>
      <c r="W77" s="1056">
        <v>-37466983.056148261</v>
      </c>
      <c r="X77" s="1056">
        <v>-33505454.908144973</v>
      </c>
      <c r="Y77" s="1478">
        <f t="shared" si="24"/>
        <v>-22612173.722985193</v>
      </c>
      <c r="Z77" s="1477">
        <v>314398956.14870292</v>
      </c>
      <c r="AA77" s="1056">
        <v>155254227.31235912</v>
      </c>
      <c r="AB77" s="1056">
        <v>138803115.96798402</v>
      </c>
      <c r="AC77" s="1478">
        <v>65275611.945009187</v>
      </c>
    </row>
    <row r="78" spans="5:29" ht="13.8" x14ac:dyDescent="0.3">
      <c r="E78" s="987">
        <v>22</v>
      </c>
      <c r="F78" s="988">
        <f t="shared" si="25"/>
        <v>2041</v>
      </c>
      <c r="G78" s="989">
        <v>-7908514.9428586625</v>
      </c>
      <c r="H78" s="989">
        <v>-763582.82356920373</v>
      </c>
      <c r="I78" s="990">
        <f t="shared" si="22"/>
        <v>-8672097.7664278671</v>
      </c>
      <c r="J78" s="989">
        <v>-160315240.47074443</v>
      </c>
      <c r="K78" s="989">
        <v>-20769452.801082339</v>
      </c>
      <c r="L78" s="990">
        <f t="shared" si="23"/>
        <v>-181084693.27182677</v>
      </c>
      <c r="M78" s="989">
        <v>31173307.069282342</v>
      </c>
      <c r="N78" s="989">
        <v>2496101.8223148207</v>
      </c>
      <c r="O78" s="989">
        <v>-8672097.7664278671</v>
      </c>
      <c r="P78" s="991">
        <v>631922099.58219218</v>
      </c>
      <c r="Q78" s="992">
        <f t="shared" si="26"/>
        <v>67893969.566963121</v>
      </c>
      <c r="R78" s="990">
        <f t="shared" si="27"/>
        <v>699816069.14915526</v>
      </c>
      <c r="V78" s="1477">
        <v>-83007198.645721838</v>
      </c>
      <c r="W78" s="1056">
        <v>-40668327.932653651</v>
      </c>
      <c r="X78" s="1056">
        <v>-36639713.89236895</v>
      </c>
      <c r="Y78" s="1478">
        <f t="shared" si="24"/>
        <v>-23884870.721244689</v>
      </c>
      <c r="Z78" s="1477">
        <v>327164625.38900357</v>
      </c>
      <c r="AA78" s="1056">
        <v>160332725.84029132</v>
      </c>
      <c r="AB78" s="1056">
        <v>144424748.35289729</v>
      </c>
      <c r="AC78" s="1478">
        <v>67893969.566963121</v>
      </c>
    </row>
    <row r="79" spans="5:29" ht="13.8" x14ac:dyDescent="0.3">
      <c r="E79" s="987">
        <v>23</v>
      </c>
      <c r="F79" s="988">
        <f t="shared" si="25"/>
        <v>2042</v>
      </c>
      <c r="G79" s="989">
        <v>-8605168.056308452</v>
      </c>
      <c r="H79" s="989">
        <v>-806289.55595130241</v>
      </c>
      <c r="I79" s="990">
        <f t="shared" si="22"/>
        <v>-9411457.6122597549</v>
      </c>
      <c r="J79" s="989">
        <v>-174447906.07148594</v>
      </c>
      <c r="K79" s="989">
        <v>-21931075.921875425</v>
      </c>
      <c r="L79" s="990">
        <f t="shared" si="23"/>
        <v>-196378981.99336135</v>
      </c>
      <c r="M79" s="989">
        <v>32373899.673570864</v>
      </c>
      <c r="N79" s="989">
        <v>2596226.3104182351</v>
      </c>
      <c r="O79" s="989">
        <v>-9411457.6122597549</v>
      </c>
      <c r="P79" s="991">
        <v>656300031.85953665</v>
      </c>
      <c r="Q79" s="992">
        <f t="shared" si="26"/>
        <v>70617355.643375993</v>
      </c>
      <c r="R79" s="990">
        <f t="shared" si="27"/>
        <v>726917387.50291264</v>
      </c>
      <c r="V79" s="1477">
        <v>-90499131.288282871</v>
      </c>
      <c r="W79" s="1056">
        <v>-44005878.985910177</v>
      </c>
      <c r="X79" s="1056">
        <v>-39942895.797292903</v>
      </c>
      <c r="Y79" s="1478">
        <f t="shared" si="24"/>
        <v>-25220737.31015674</v>
      </c>
      <c r="Z79" s="1477">
        <v>340448624.31191188</v>
      </c>
      <c r="AA79" s="1056">
        <v>165577346.3975215</v>
      </c>
      <c r="AB79" s="1056">
        <v>150274061.15010324</v>
      </c>
      <c r="AC79" s="1478">
        <v>70617355.643375993</v>
      </c>
    </row>
    <row r="80" spans="5:29" ht="13.8" x14ac:dyDescent="0.3">
      <c r="E80" s="987">
        <v>24</v>
      </c>
      <c r="F80" s="988">
        <f t="shared" si="25"/>
        <v>2043</v>
      </c>
      <c r="G80" s="989">
        <v>-9337246.5341159701</v>
      </c>
      <c r="H80" s="989">
        <v>-851109.62273902493</v>
      </c>
      <c r="I80" s="990">
        <f t="shared" si="22"/>
        <v>-10188356.156854995</v>
      </c>
      <c r="J80" s="989">
        <v>-189300463.59567425</v>
      </c>
      <c r="K80" s="989">
        <v>-23150181.738501478</v>
      </c>
      <c r="L80" s="990">
        <f t="shared" si="23"/>
        <v>-212450645.33417574</v>
      </c>
      <c r="M80" s="989">
        <v>33621104.77387701</v>
      </c>
      <c r="N80" s="989">
        <v>2700367.0261564157</v>
      </c>
      <c r="O80" s="989">
        <v>-10188356.156854995</v>
      </c>
      <c r="P80" s="991">
        <v>681625797.43740976</v>
      </c>
      <c r="Q80" s="992">
        <f t="shared" si="26"/>
        <v>73449983.111454502</v>
      </c>
      <c r="R80" s="990">
        <f t="shared" si="27"/>
        <v>755075780.54886425</v>
      </c>
      <c r="V80" s="1477">
        <v>-98393036.283128381</v>
      </c>
      <c r="W80" s="1056">
        <v>-47484593.446100637</v>
      </c>
      <c r="X80" s="1056">
        <v>-43422833.866445214</v>
      </c>
      <c r="Y80" s="1478">
        <f t="shared" si="24"/>
        <v>-26622708.999276698</v>
      </c>
      <c r="Z80" s="1477">
        <v>354271998.86925507</v>
      </c>
      <c r="AA80" s="1056">
        <v>170993522.97767308</v>
      </c>
      <c r="AB80" s="1056">
        <v>156360275.59048161</v>
      </c>
      <c r="AC80" s="1478">
        <v>73449983.111454502</v>
      </c>
    </row>
    <row r="81" spans="5:29" ht="14.4" thickBot="1" x14ac:dyDescent="0.35">
      <c r="E81" s="535" t="s">
        <v>314</v>
      </c>
      <c r="F81" s="534"/>
      <c r="G81" s="993">
        <f t="shared" ref="G81:L81" si="28">SUM(G60:G80)</f>
        <v>-81564248.020454362</v>
      </c>
      <c r="H81" s="993">
        <f t="shared" si="28"/>
        <v>-10783512.030322539</v>
      </c>
      <c r="I81" s="993">
        <f t="shared" si="28"/>
        <v>-92347760.050776899</v>
      </c>
      <c r="J81" s="994">
        <f t="shared" si="28"/>
        <v>-1653039966.397058</v>
      </c>
      <c r="K81" s="993">
        <f t="shared" si="28"/>
        <v>-293311527.22477305</v>
      </c>
      <c r="L81" s="993">
        <f t="shared" si="28"/>
        <v>-1946351493.6218312</v>
      </c>
      <c r="M81" s="993">
        <f t="shared" ref="M81:R81" si="29">SUM(M60:M80)</f>
        <v>496853215.59075522</v>
      </c>
      <c r="N81" s="993">
        <f t="shared" si="29"/>
        <v>39362756.111843355</v>
      </c>
      <c r="O81" s="993">
        <f t="shared" si="29"/>
        <v>-92347760.050776899</v>
      </c>
      <c r="P81" s="994">
        <f t="shared" si="29"/>
        <v>10067615999.665476</v>
      </c>
      <c r="Q81" s="993">
        <f t="shared" si="29"/>
        <v>1070666966.2421396</v>
      </c>
      <c r="R81" s="993">
        <f t="shared" si="29"/>
        <v>11138282965.907612</v>
      </c>
      <c r="V81" s="1480">
        <f t="shared" ref="V81:Y81" si="30">SUM(V60:V80)</f>
        <v>-849948049.71700621</v>
      </c>
      <c r="W81" s="1057">
        <f t="shared" si="30"/>
        <v>-427804357.38245219</v>
      </c>
      <c r="X81" s="1057">
        <f t="shared" si="30"/>
        <v>-375287559.29759967</v>
      </c>
      <c r="Y81" s="1481">
        <f t="shared" si="30"/>
        <v>-337308256.30848902</v>
      </c>
      <c r="Z81" s="1480">
        <f>SUM(Z60:Z80)</f>
        <v>5143320616.6003256</v>
      </c>
      <c r="AA81" s="1057">
        <f>SUM(AA60:AA80)</f>
        <v>2652339612.5828986</v>
      </c>
      <c r="AB81" s="1057">
        <f>SUM(AB60:AB80)</f>
        <v>2271955770.4822497</v>
      </c>
      <c r="AC81" s="1481">
        <f>SUM(AC60:AC80)</f>
        <v>1070666966.2421396</v>
      </c>
    </row>
    <row r="82" spans="5:29" ht="17.399999999999999" x14ac:dyDescent="0.3">
      <c r="E82" s="995" t="s">
        <v>338</v>
      </c>
      <c r="P82" s="1827" t="s">
        <v>904</v>
      </c>
      <c r="Q82" s="1827"/>
      <c r="R82" s="1483">
        <f>R80-R60</f>
        <v>401302593.49652314</v>
      </c>
    </row>
    <row r="83" spans="5:29" ht="13.8" x14ac:dyDescent="0.3">
      <c r="P83" s="1836" t="s">
        <v>866</v>
      </c>
      <c r="Q83" s="1837"/>
      <c r="R83" s="1548">
        <f>R82/21</f>
        <v>19109647.309358247</v>
      </c>
      <c r="X83" s="1794" t="s">
        <v>904</v>
      </c>
      <c r="Y83" s="1794"/>
      <c r="Z83" s="1408">
        <f>Z80-Z60</f>
        <v>194451697.22751307</v>
      </c>
      <c r="AA83" s="1408">
        <f>AA80-AA60</f>
        <v>81166952.304604605</v>
      </c>
      <c r="AB83" s="1408">
        <f>AB80-AB60</f>
        <v>85683236.031987742</v>
      </c>
      <c r="AC83" s="1408">
        <f>AC80-AC60</f>
        <v>40000707.932417706</v>
      </c>
    </row>
    <row r="84" spans="5:29" ht="13.8" x14ac:dyDescent="0.3">
      <c r="G84" s="715" t="str">
        <f>IF(G81=Z35,"OK","Check")</f>
        <v>Check</v>
      </c>
      <c r="H84" s="715" t="str">
        <f>IF(H81=Z41,"OK","Check")</f>
        <v>Check</v>
      </c>
      <c r="I84" s="715" t="str">
        <f>IF(I81=Z51,"OK","Check")</f>
        <v>Check</v>
      </c>
      <c r="J84" s="715" t="str">
        <f>IF(J81=Z36,"OK","Check")</f>
        <v>Check</v>
      </c>
      <c r="K84" s="715" t="str">
        <f>IF(K81=Z42,"OK","Check")</f>
        <v>Check</v>
      </c>
      <c r="L84" s="715" t="str">
        <f>IF(L81=Z52,"OK","Check")</f>
        <v>Check</v>
      </c>
      <c r="X84" s="1794" t="s">
        <v>866</v>
      </c>
      <c r="Y84" s="1794"/>
      <c r="Z84" s="1408">
        <f>Z83/21</f>
        <v>9259604.6298815757</v>
      </c>
      <c r="AA84" s="1408">
        <f>AA83/21</f>
        <v>3865092.9668859337</v>
      </c>
      <c r="AB84" s="1408">
        <f>AB83/21</f>
        <v>4080154.0967613212</v>
      </c>
      <c r="AC84" s="1408">
        <f>AC83/21</f>
        <v>1904795.6158294145</v>
      </c>
    </row>
    <row r="85" spans="5:29" x14ac:dyDescent="0.3">
      <c r="G85" s="1044">
        <f>G81/$I$81</f>
        <v>0.88322930600164762</v>
      </c>
      <c r="H85" s="1044">
        <f>H81/$I$81</f>
        <v>0.11677069399835237</v>
      </c>
      <c r="I85" s="1044">
        <f>SUM(G85:H85)</f>
        <v>1</v>
      </c>
      <c r="J85" s="1044">
        <f>J81/$L$81</f>
        <v>0.84930187163729098</v>
      </c>
      <c r="K85" s="1044">
        <f>K81/$L$81</f>
        <v>0.15069812836270896</v>
      </c>
      <c r="L85" s="1044">
        <f>SUM(J85:K85)</f>
        <v>1</v>
      </c>
    </row>
    <row r="88" spans="5:29" ht="17.399999999999999" x14ac:dyDescent="0.3">
      <c r="E88" s="1835" t="s">
        <v>956</v>
      </c>
      <c r="F88" s="1835"/>
      <c r="G88" s="1835"/>
      <c r="H88" s="1835"/>
      <c r="I88" s="1835"/>
      <c r="J88" s="1835"/>
      <c r="K88" s="1835"/>
      <c r="L88" s="1835"/>
    </row>
    <row r="89" spans="5:29" ht="17.399999999999999" x14ac:dyDescent="0.3">
      <c r="E89" s="1416" t="s">
        <v>858</v>
      </c>
    </row>
    <row r="90" spans="5:29" ht="13.8" x14ac:dyDescent="0.3">
      <c r="E90" s="1592" t="s">
        <v>182</v>
      </c>
      <c r="F90" s="1592" t="s">
        <v>180</v>
      </c>
      <c r="G90" s="1592" t="s">
        <v>178</v>
      </c>
      <c r="H90" s="1592" t="s">
        <v>268</v>
      </c>
    </row>
    <row r="91" spans="5:29" ht="45.75" customHeight="1" x14ac:dyDescent="0.3">
      <c r="E91" s="1594" t="s">
        <v>7</v>
      </c>
      <c r="F91" s="1594" t="s">
        <v>275</v>
      </c>
      <c r="G91" s="1593" t="s">
        <v>347</v>
      </c>
      <c r="H91" s="1183" t="s">
        <v>600</v>
      </c>
    </row>
    <row r="92" spans="5:29" ht="13.8" x14ac:dyDescent="0.3">
      <c r="E92" s="987">
        <v>4</v>
      </c>
      <c r="F92" s="988">
        <v>2023</v>
      </c>
      <c r="G92" s="989">
        <f t="array" ref="G92:G112">TRANSPOSE(E46:Y46)</f>
        <v>-39953.872494688214</v>
      </c>
      <c r="H92" s="989">
        <f t="array" ref="H92:H112">TRANSPOSE(E47:Y47)</f>
        <v>-1086745.3318555194</v>
      </c>
    </row>
    <row r="93" spans="5:29" ht="13.8" x14ac:dyDescent="0.3">
      <c r="E93" s="987">
        <v>5</v>
      </c>
      <c r="F93" s="988">
        <f>F92+1</f>
        <v>2024</v>
      </c>
      <c r="G93" s="989">
        <v>-42563.909051238901</v>
      </c>
      <c r="H93" s="989">
        <v>-1157738.326193698</v>
      </c>
    </row>
    <row r="94" spans="5:29" ht="13.8" x14ac:dyDescent="0.3">
      <c r="E94" s="987">
        <v>6</v>
      </c>
      <c r="F94" s="988">
        <f t="shared" ref="F94:F112" si="31">F93+1</f>
        <v>2025</v>
      </c>
      <c r="G94" s="989">
        <v>-45312.026502277462</v>
      </c>
      <c r="H94" s="989">
        <v>-1232487.1208619468</v>
      </c>
    </row>
    <row r="95" spans="5:29" ht="13.8" x14ac:dyDescent="0.3">
      <c r="E95" s="987">
        <v>7</v>
      </c>
      <c r="F95" s="988">
        <f t="shared" si="31"/>
        <v>2026</v>
      </c>
      <c r="G95" s="989">
        <v>-48204.870055017593</v>
      </c>
      <c r="H95" s="989">
        <v>-1311172.4654964786</v>
      </c>
    </row>
    <row r="96" spans="5:29" ht="13.8" x14ac:dyDescent="0.3">
      <c r="E96" s="987">
        <v>8</v>
      </c>
      <c r="F96" s="988">
        <f t="shared" si="31"/>
        <v>2027</v>
      </c>
      <c r="G96" s="989">
        <v>-51249.388140878065</v>
      </c>
      <c r="H96" s="989">
        <v>-1393983.3574318832</v>
      </c>
    </row>
    <row r="97" spans="5:8" ht="13.8" x14ac:dyDescent="0.3">
      <c r="E97" s="987">
        <v>9</v>
      </c>
      <c r="F97" s="988">
        <f t="shared" si="31"/>
        <v>2028</v>
      </c>
      <c r="G97" s="989">
        <v>-54452.845793782799</v>
      </c>
      <c r="H97" s="989">
        <v>-1481117.4055908921</v>
      </c>
    </row>
    <row r="98" spans="5:8" ht="13.8" x14ac:dyDescent="0.3">
      <c r="E98" s="987">
        <v>10</v>
      </c>
      <c r="F98" s="988">
        <f t="shared" si="31"/>
        <v>2029</v>
      </c>
      <c r="G98" s="989">
        <v>-57822.838605371537</v>
      </c>
      <c r="H98" s="989">
        <v>-1572781.2100661057</v>
      </c>
    </row>
    <row r="99" spans="5:8" ht="13.8" x14ac:dyDescent="0.3">
      <c r="E99" s="987">
        <v>11</v>
      </c>
      <c r="F99" s="988">
        <f t="shared" si="31"/>
        <v>2030</v>
      </c>
      <c r="G99" s="989">
        <v>-61367.307281596266</v>
      </c>
      <c r="H99" s="989">
        <v>-1669190.7580594183</v>
      </c>
    </row>
    <row r="100" spans="5:8" ht="13.8" x14ac:dyDescent="0.3">
      <c r="E100" s="987">
        <v>12</v>
      </c>
      <c r="F100" s="988">
        <f t="shared" si="31"/>
        <v>2031</v>
      </c>
      <c r="G100" s="989">
        <v>-65094.552826207328</v>
      </c>
      <c r="H100" s="989">
        <v>-1770571.8368728394</v>
      </c>
    </row>
    <row r="101" spans="5:8" ht="13.8" x14ac:dyDescent="0.3">
      <c r="E101" s="987">
        <v>13</v>
      </c>
      <c r="F101" s="988">
        <f t="shared" si="31"/>
        <v>2032</v>
      </c>
      <c r="G101" s="989">
        <v>-69013.252377696757</v>
      </c>
      <c r="H101" s="989">
        <v>-1877160.4646733517</v>
      </c>
    </row>
    <row r="102" spans="5:8" ht="13.8" x14ac:dyDescent="0.3">
      <c r="E102" s="987">
        <v>14</v>
      </c>
      <c r="F102" s="988">
        <f t="shared" si="31"/>
        <v>2033</v>
      </c>
      <c r="G102" s="989">
        <v>-73132.47572738622</v>
      </c>
      <c r="H102" s="989">
        <v>-1989203.3397849051</v>
      </c>
    </row>
    <row r="103" spans="5:8" ht="13.8" x14ac:dyDescent="0.3">
      <c r="E103" s="987">
        <v>15</v>
      </c>
      <c r="F103" s="988">
        <f t="shared" si="31"/>
        <v>2034</v>
      </c>
      <c r="G103" s="989">
        <v>-77461.702547499168</v>
      </c>
      <c r="H103" s="989">
        <v>-2106958.3092919774</v>
      </c>
    </row>
    <row r="104" spans="5:8" ht="13.8" x14ac:dyDescent="0.3">
      <c r="E104" s="987">
        <v>16</v>
      </c>
      <c r="F104" s="988">
        <f t="shared" si="31"/>
        <v>2035</v>
      </c>
      <c r="G104" s="989">
        <v>-82010.84035927034</v>
      </c>
      <c r="H104" s="989">
        <v>-2230694.8577721533</v>
      </c>
    </row>
    <row r="105" spans="5:8" ht="13.8" x14ac:dyDescent="0.3">
      <c r="E105" s="987">
        <v>17</v>
      </c>
      <c r="F105" s="988">
        <f t="shared" si="31"/>
        <v>2036</v>
      </c>
      <c r="G105" s="989">
        <v>-86790.243272397507</v>
      </c>
      <c r="H105" s="989">
        <v>-2360694.6170092123</v>
      </c>
    </row>
    <row r="106" spans="5:8" ht="13.8" x14ac:dyDescent="0.3">
      <c r="E106" s="987">
        <v>18</v>
      </c>
      <c r="F106" s="988">
        <f t="shared" si="31"/>
        <v>2037</v>
      </c>
      <c r="G106" s="989">
        <v>-91810.731528456017</v>
      </c>
      <c r="H106" s="989">
        <v>-2497251.8975740038</v>
      </c>
    </row>
    <row r="107" spans="5:8" ht="13.8" x14ac:dyDescent="0.3">
      <c r="E107" s="987">
        <v>19</v>
      </c>
      <c r="F107" s="988">
        <f t="shared" si="31"/>
        <v>2038</v>
      </c>
      <c r="G107" s="989">
        <v>-97083.611882254176</v>
      </c>
      <c r="H107" s="989">
        <v>-2640674.2431973135</v>
      </c>
    </row>
    <row r="108" spans="5:8" ht="13.8" x14ac:dyDescent="0.3">
      <c r="E108" s="987">
        <v>20</v>
      </c>
      <c r="F108" s="988">
        <f t="shared" si="31"/>
        <v>2039</v>
      </c>
      <c r="G108" s="989">
        <v>-102620.69885653441</v>
      </c>
      <c r="H108" s="989">
        <v>-2791283.0088977357</v>
      </c>
    </row>
    <row r="109" spans="5:8" ht="13.8" x14ac:dyDescent="0.3">
      <c r="E109" s="987">
        <v>21</v>
      </c>
      <c r="F109" s="988">
        <f t="shared" si="31"/>
        <v>2040</v>
      </c>
      <c r="G109" s="989">
        <v>-108434.3369068983</v>
      </c>
      <c r="H109" s="989">
        <v>-2949413.9638676336</v>
      </c>
    </row>
    <row r="110" spans="5:8" ht="13.8" x14ac:dyDescent="0.3">
      <c r="E110" s="987">
        <v>22</v>
      </c>
      <c r="F110" s="988">
        <f t="shared" si="31"/>
        <v>2041</v>
      </c>
      <c r="G110" s="989">
        <v>-114537.42353538056</v>
      </c>
      <c r="H110" s="989">
        <v>-3115417.9201623509</v>
      </c>
    </row>
    <row r="111" spans="5:8" ht="13.8" x14ac:dyDescent="0.3">
      <c r="E111" s="987">
        <v>23</v>
      </c>
      <c r="F111" s="988">
        <f t="shared" si="31"/>
        <v>2042</v>
      </c>
      <c r="G111" s="989">
        <v>-120943.43339269535</v>
      </c>
      <c r="H111" s="989">
        <v>-3289661.3882813137</v>
      </c>
    </row>
    <row r="112" spans="5:8" ht="13.8" x14ac:dyDescent="0.3">
      <c r="E112" s="987">
        <v>24</v>
      </c>
      <c r="F112" s="988">
        <f t="shared" si="31"/>
        <v>2043</v>
      </c>
      <c r="G112" s="989">
        <v>-127666.44341085374</v>
      </c>
      <c r="H112" s="989">
        <v>-3472527.2607752215</v>
      </c>
    </row>
    <row r="113" spans="5:8" ht="13.8" x14ac:dyDescent="0.3">
      <c r="E113" s="535" t="s">
        <v>314</v>
      </c>
      <c r="F113" s="534"/>
      <c r="G113" s="994">
        <f t="shared" ref="G113:H113" si="32">SUM(G92:G112)</f>
        <v>-1617526.8045483804</v>
      </c>
      <c r="H113" s="994">
        <f t="shared" si="32"/>
        <v>-43996729.083715953</v>
      </c>
    </row>
    <row r="114" spans="5:8" ht="17.399999999999999" x14ac:dyDescent="0.3">
      <c r="E114" s="995" t="s">
        <v>338</v>
      </c>
    </row>
  </sheetData>
  <mergeCells count="19">
    <mergeCell ref="E88:L88"/>
    <mergeCell ref="Z58:AB58"/>
    <mergeCell ref="AC58:AC59"/>
    <mergeCell ref="X83:Y83"/>
    <mergeCell ref="X84:Y84"/>
    <mergeCell ref="P82:Q82"/>
    <mergeCell ref="P83:Q83"/>
    <mergeCell ref="E58:E59"/>
    <mergeCell ref="F58:F59"/>
    <mergeCell ref="G58:I58"/>
    <mergeCell ref="J58:L58"/>
    <mergeCell ref="M58:O58"/>
    <mergeCell ref="P58:R58"/>
    <mergeCell ref="V58:X58"/>
    <mergeCell ref="Y58:Y59"/>
    <mergeCell ref="I4:J4"/>
    <mergeCell ref="F4:G4"/>
    <mergeCell ref="E12:Y12"/>
    <mergeCell ref="E55:L5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AP84"/>
  <sheetViews>
    <sheetView topLeftCell="A22" zoomScale="55" zoomScaleNormal="55" workbookViewId="0"/>
  </sheetViews>
  <sheetFormatPr defaultColWidth="9.109375" defaultRowHeight="13.2" x14ac:dyDescent="0.3"/>
  <cols>
    <col min="1" max="1" width="3.5546875" style="424" customWidth="1"/>
    <col min="2" max="2" width="47.109375" style="424" customWidth="1"/>
    <col min="3" max="3" width="19.44140625" style="424" customWidth="1"/>
    <col min="4" max="4" width="18" style="424" customWidth="1"/>
    <col min="5" max="5" width="13.44140625" style="424" customWidth="1"/>
    <col min="6" max="8" width="12.88671875" style="424" customWidth="1"/>
    <col min="9" max="9" width="16" style="424" customWidth="1"/>
    <col min="10" max="10" width="15.44140625" style="424" bestFit="1" customWidth="1"/>
    <col min="11" max="11" width="12.88671875" style="424" customWidth="1"/>
    <col min="12" max="12" width="14.5546875" style="424" customWidth="1"/>
    <col min="13" max="13" width="15.6640625" style="424" bestFit="1" customWidth="1"/>
    <col min="14" max="14" width="14.5546875" style="424" bestFit="1" customWidth="1"/>
    <col min="15" max="15" width="15.6640625" style="424" bestFit="1" customWidth="1"/>
    <col min="16" max="16" width="17" style="424" bestFit="1" customWidth="1"/>
    <col min="17" max="17" width="15.6640625" style="424" bestFit="1" customWidth="1"/>
    <col min="18" max="18" width="17" style="424" customWidth="1"/>
    <col min="19" max="26" width="12.88671875" style="424" customWidth="1"/>
    <col min="27" max="27" width="15.6640625" style="424" bestFit="1" customWidth="1"/>
    <col min="28" max="29" width="13.44140625" style="424" bestFit="1" customWidth="1"/>
    <col min="30" max="16384" width="9.109375" style="424"/>
  </cols>
  <sheetData>
    <row r="2" spans="2:26" ht="20.25" x14ac:dyDescent="0.25">
      <c r="B2" s="946" t="s">
        <v>713</v>
      </c>
    </row>
    <row r="3" spans="2:26" ht="20.25" x14ac:dyDescent="0.25">
      <c r="B3" s="946" t="s">
        <v>716</v>
      </c>
    </row>
    <row r="4" spans="2:26" ht="18" x14ac:dyDescent="0.25">
      <c r="B4" s="423"/>
    </row>
    <row r="5" spans="2:26" ht="57.75" customHeight="1" x14ac:dyDescent="0.25">
      <c r="B5" s="1019" t="s">
        <v>481</v>
      </c>
      <c r="C5" s="1020" t="s">
        <v>354</v>
      </c>
      <c r="D5" s="425" t="s">
        <v>868</v>
      </c>
      <c r="E5" s="425" t="s">
        <v>869</v>
      </c>
      <c r="F5" s="1829"/>
      <c r="G5" s="1829"/>
      <c r="H5" s="1829"/>
      <c r="I5" s="601"/>
      <c r="J5" s="1829"/>
      <c r="K5" s="1829"/>
      <c r="L5" s="1829"/>
      <c r="M5" s="601"/>
    </row>
    <row r="6" spans="2:26" ht="15" customHeight="1" x14ac:dyDescent="0.25">
      <c r="B6" s="426" t="str">
        <f>Rates!B15</f>
        <v xml:space="preserve">- Auto, Urban </v>
      </c>
      <c r="C6" s="714" t="s">
        <v>488</v>
      </c>
      <c r="D6" s="1058">
        <f>Rates!E39</f>
        <v>0.30900000000000005</v>
      </c>
      <c r="E6" s="1417">
        <f>Rates!E37</f>
        <v>0.4</v>
      </c>
      <c r="F6" s="1022"/>
      <c r="G6" s="1022"/>
      <c r="H6" s="1022"/>
      <c r="I6" s="601"/>
      <c r="J6" s="1022"/>
      <c r="K6" s="1022"/>
      <c r="L6" s="1022"/>
      <c r="M6" s="601"/>
    </row>
    <row r="7" spans="2:26" ht="15" customHeight="1" x14ac:dyDescent="0.25">
      <c r="B7" s="426" t="str">
        <f>Rates!B16</f>
        <v xml:space="preserve">- Truck, Urban </v>
      </c>
      <c r="C7" s="714" t="s">
        <v>489</v>
      </c>
      <c r="D7" s="1058">
        <f>Rates!E40</f>
        <v>0.45</v>
      </c>
      <c r="E7" s="1417">
        <f>Rates!E38</f>
        <v>0.96</v>
      </c>
      <c r="F7" s="1022"/>
      <c r="G7" s="1022"/>
      <c r="H7" s="1022"/>
      <c r="I7" s="601"/>
      <c r="J7" s="1022"/>
      <c r="K7" s="1022"/>
      <c r="L7" s="1022"/>
      <c r="M7" s="601"/>
    </row>
    <row r="8" spans="2:26" ht="25.5" customHeight="1" x14ac:dyDescent="0.25">
      <c r="B8" s="1817" t="s">
        <v>292</v>
      </c>
      <c r="C8" s="1817"/>
      <c r="E8" s="1023"/>
      <c r="F8" s="1024"/>
      <c r="G8" s="1024"/>
      <c r="H8" s="1024"/>
      <c r="I8" s="601"/>
      <c r="J8" s="1025"/>
      <c r="K8" s="1025"/>
      <c r="L8" s="1025"/>
      <c r="M8" s="601"/>
    </row>
    <row r="9" spans="2:26" ht="25.5" customHeight="1" thickBot="1" x14ac:dyDescent="0.3">
      <c r="B9" s="1026"/>
      <c r="C9" s="1026"/>
      <c r="E9" s="1023"/>
      <c r="F9" s="1024"/>
      <c r="G9" s="1024"/>
      <c r="H9" s="1024"/>
      <c r="I9" s="601"/>
      <c r="J9" s="1025"/>
      <c r="K9" s="1025"/>
      <c r="L9" s="1025"/>
      <c r="M9" s="601"/>
    </row>
    <row r="10" spans="2:26" ht="18" customHeight="1" thickBot="1" x14ac:dyDescent="0.3">
      <c r="B10" s="954"/>
      <c r="C10" s="955"/>
      <c r="D10" s="955"/>
      <c r="E10" s="1818"/>
      <c r="F10" s="1819"/>
      <c r="G10" s="1819"/>
      <c r="H10" s="1819"/>
      <c r="I10" s="1819"/>
      <c r="J10" s="1819"/>
      <c r="K10" s="1819"/>
      <c r="L10" s="1819"/>
      <c r="M10" s="1819"/>
      <c r="N10" s="1819"/>
      <c r="O10" s="1819"/>
      <c r="P10" s="1819"/>
      <c r="Q10" s="1819"/>
      <c r="R10" s="1819"/>
      <c r="S10" s="1819"/>
      <c r="T10" s="1819"/>
      <c r="U10" s="1819"/>
      <c r="V10" s="1819"/>
      <c r="W10" s="1819"/>
      <c r="X10" s="1819"/>
      <c r="Y10" s="1820"/>
      <c r="Z10" s="688"/>
    </row>
    <row r="11" spans="2:26" ht="18" customHeight="1" thickBot="1" x14ac:dyDescent="0.3">
      <c r="B11" s="957"/>
      <c r="C11" s="958"/>
      <c r="D11" s="958"/>
      <c r="E11" s="712">
        <v>2023</v>
      </c>
      <c r="F11" s="417">
        <f>E11+1</f>
        <v>2024</v>
      </c>
      <c r="G11" s="417">
        <f t="shared" ref="G11:Y11" si="0">F11+1</f>
        <v>2025</v>
      </c>
      <c r="H11" s="417">
        <f t="shared" si="0"/>
        <v>2026</v>
      </c>
      <c r="I11" s="417">
        <f t="shared" si="0"/>
        <v>2027</v>
      </c>
      <c r="J11" s="417">
        <f t="shared" si="0"/>
        <v>2028</v>
      </c>
      <c r="K11" s="417">
        <f t="shared" si="0"/>
        <v>2029</v>
      </c>
      <c r="L11" s="417">
        <f t="shared" si="0"/>
        <v>2030</v>
      </c>
      <c r="M11" s="417">
        <f t="shared" si="0"/>
        <v>2031</v>
      </c>
      <c r="N11" s="417">
        <f t="shared" si="0"/>
        <v>2032</v>
      </c>
      <c r="O11" s="417">
        <f t="shared" si="0"/>
        <v>2033</v>
      </c>
      <c r="P11" s="417">
        <f t="shared" si="0"/>
        <v>2034</v>
      </c>
      <c r="Q11" s="417">
        <f t="shared" si="0"/>
        <v>2035</v>
      </c>
      <c r="R11" s="417">
        <f t="shared" si="0"/>
        <v>2036</v>
      </c>
      <c r="S11" s="417">
        <f t="shared" si="0"/>
        <v>2037</v>
      </c>
      <c r="T11" s="417">
        <f t="shared" si="0"/>
        <v>2038</v>
      </c>
      <c r="U11" s="417">
        <f t="shared" si="0"/>
        <v>2039</v>
      </c>
      <c r="V11" s="417">
        <f t="shared" si="0"/>
        <v>2040</v>
      </c>
      <c r="W11" s="417">
        <f t="shared" si="0"/>
        <v>2041</v>
      </c>
      <c r="X11" s="417">
        <f t="shared" si="0"/>
        <v>2042</v>
      </c>
      <c r="Y11" s="713">
        <f t="shared" si="0"/>
        <v>2043</v>
      </c>
      <c r="Z11" s="1023"/>
    </row>
    <row r="12" spans="2:26" s="1028" customFormat="1" ht="18" customHeight="1" x14ac:dyDescent="0.25">
      <c r="B12" s="1027" t="s">
        <v>642</v>
      </c>
      <c r="C12" s="601"/>
      <c r="D12" s="601"/>
      <c r="E12" s="962"/>
      <c r="F12" s="435"/>
      <c r="G12" s="435"/>
      <c r="H12" s="435"/>
      <c r="I12" s="435"/>
      <c r="J12" s="435"/>
      <c r="K12" s="435"/>
      <c r="L12" s="435"/>
      <c r="M12" s="435"/>
      <c r="N12" s="435"/>
      <c r="O12" s="435"/>
      <c r="P12" s="435"/>
      <c r="Q12" s="435"/>
      <c r="R12" s="435"/>
      <c r="S12" s="435"/>
      <c r="T12" s="435"/>
      <c r="U12" s="435"/>
      <c r="V12" s="435"/>
      <c r="W12" s="435"/>
      <c r="X12" s="435"/>
      <c r="Y12" s="963"/>
      <c r="Z12" s="1023"/>
    </row>
    <row r="13" spans="2:26" s="1028" customFormat="1" ht="18" customHeight="1" x14ac:dyDescent="0.25">
      <c r="B13" s="969" t="s">
        <v>1016</v>
      </c>
      <c r="C13" s="601"/>
      <c r="D13" s="601"/>
      <c r="E13" s="1474">
        <f>'Build.vs.No-Build'!F69</f>
        <v>3.7522954610308141</v>
      </c>
      <c r="F13" s="1062">
        <f>'Build.vs.No-Build'!G69</f>
        <v>3.750942589967007</v>
      </c>
      <c r="G13" s="1062">
        <f>'Build.vs.No-Build'!H69</f>
        <v>3.7495902066739881</v>
      </c>
      <c r="H13" s="1062">
        <f>'Build.vs.No-Build'!I69</f>
        <v>3.7482383109758959</v>
      </c>
      <c r="I13" s="1062">
        <f>'Build.vs.No-Build'!J69</f>
        <v>3.7468869026969274</v>
      </c>
      <c r="J13" s="1062">
        <f>'Build.vs.No-Build'!K69</f>
        <v>3.7455359816613476</v>
      </c>
      <c r="K13" s="1062">
        <f>'Build.vs.No-Build'!L69</f>
        <v>3.7441855476934838</v>
      </c>
      <c r="L13" s="1062">
        <f>'Build.vs.No-Build'!M69</f>
        <v>3.7428356006177266</v>
      </c>
      <c r="M13" s="1062">
        <f>'Build.vs.No-Build'!N69</f>
        <v>3.741486140258528</v>
      </c>
      <c r="N13" s="1062">
        <f>'Build.vs.No-Build'!O69</f>
        <v>3.7401371664404062</v>
      </c>
      <c r="O13" s="1062">
        <f>'Build.vs.No-Build'!P69</f>
        <v>3.7387886789879388</v>
      </c>
      <c r="P13" s="1062">
        <f>'Build.vs.No-Build'!Q69</f>
        <v>3.7374406777257723</v>
      </c>
      <c r="Q13" s="1062">
        <f>'Build.vs.No-Build'!R69</f>
        <v>3.7360931624786113</v>
      </c>
      <c r="R13" s="1062">
        <f>'Build.vs.No-Build'!S69</f>
        <v>3.7347461330712273</v>
      </c>
      <c r="S13" s="1062">
        <f>'Build.vs.No-Build'!T69</f>
        <v>3.7333995893284522</v>
      </c>
      <c r="T13" s="1062">
        <f>'Build.vs.No-Build'!U69</f>
        <v>3.7320535310751817</v>
      </c>
      <c r="U13" s="1062">
        <f>'Build.vs.No-Build'!V69</f>
        <v>3.730707958136374</v>
      </c>
      <c r="V13" s="1062">
        <f>'Build.vs.No-Build'!W69</f>
        <v>3.7293628703370536</v>
      </c>
      <c r="W13" s="1062">
        <f>'Build.vs.No-Build'!X69</f>
        <v>3.7280182675023057</v>
      </c>
      <c r="X13" s="1062">
        <f>'Build.vs.No-Build'!Y69</f>
        <v>3.7266741494572777</v>
      </c>
      <c r="Y13" s="1063">
        <f>'Build.vs.No-Build'!Z69</f>
        <v>3.7253305160271823</v>
      </c>
      <c r="Z13" s="1023"/>
    </row>
    <row r="14" spans="2:26" s="1028" customFormat="1" ht="18" customHeight="1" x14ac:dyDescent="0.25">
      <c r="B14" s="969" t="s">
        <v>1017</v>
      </c>
      <c r="C14" s="601"/>
      <c r="D14" s="601"/>
      <c r="E14" s="1474">
        <f>'Build.vs.No-Build'!F77</f>
        <v>3.9343004062765923</v>
      </c>
      <c r="F14" s="1062">
        <f>'Build.vs.No-Build'!G77</f>
        <v>3.9359944628791084</v>
      </c>
      <c r="G14" s="1062">
        <f>'Build.vs.No-Build'!H77</f>
        <v>3.9376892489195101</v>
      </c>
      <c r="H14" s="1062">
        <f>'Build.vs.No-Build'!I77</f>
        <v>3.9393847647118854</v>
      </c>
      <c r="I14" s="1062">
        <f>'Build.vs.No-Build'!J77</f>
        <v>3.9410810105704535</v>
      </c>
      <c r="J14" s="1062">
        <f>'Build.vs.No-Build'!K77</f>
        <v>3.9427779868095731</v>
      </c>
      <c r="K14" s="1062">
        <f>'Build.vs.No-Build'!L77</f>
        <v>3.9444756937437333</v>
      </c>
      <c r="L14" s="1062">
        <f>'Build.vs.No-Build'!M77</f>
        <v>3.946174131687564</v>
      </c>
      <c r="M14" s="1062">
        <f>'Build.vs.No-Build'!N77</f>
        <v>3.9478733009558278</v>
      </c>
      <c r="N14" s="1062">
        <f>'Build.vs.No-Build'!O77</f>
        <v>3.9495732018634229</v>
      </c>
      <c r="O14" s="1062">
        <f>'Build.vs.No-Build'!P77</f>
        <v>3.9512738347253826</v>
      </c>
      <c r="P14" s="1062">
        <f>'Build.vs.No-Build'!Q77</f>
        <v>3.9529751998568772</v>
      </c>
      <c r="Q14" s="1062">
        <f>'Build.vs.No-Build'!R77</f>
        <v>3.9546772975732125</v>
      </c>
      <c r="R14" s="1062">
        <f>'Build.vs.No-Build'!S77</f>
        <v>3.9563801281898292</v>
      </c>
      <c r="S14" s="1062">
        <f>'Build.vs.No-Build'!T77</f>
        <v>3.9580836920223033</v>
      </c>
      <c r="T14" s="1062">
        <f>'Build.vs.No-Build'!U77</f>
        <v>3.9597879893863479</v>
      </c>
      <c r="U14" s="1062">
        <f>'Build.vs.No-Build'!V77</f>
        <v>3.9614930205978145</v>
      </c>
      <c r="V14" s="1062">
        <f>'Build.vs.No-Build'!W77</f>
        <v>3.9631987859726849</v>
      </c>
      <c r="W14" s="1062">
        <f>'Build.vs.No-Build'!X77</f>
        <v>3.9649052858270801</v>
      </c>
      <c r="X14" s="1062">
        <f>'Build.vs.No-Build'!Y77</f>
        <v>3.9666125204772582</v>
      </c>
      <c r="Y14" s="1063">
        <f>'Build.vs.No-Build'!Z77</f>
        <v>3.9683204902396128</v>
      </c>
      <c r="Z14" s="1023"/>
    </row>
    <row r="15" spans="2:26" s="1028" customFormat="1" ht="18" customHeight="1" x14ac:dyDescent="0.25">
      <c r="B15" s="969" t="s">
        <v>867</v>
      </c>
      <c r="C15" s="601"/>
      <c r="D15" s="601"/>
      <c r="E15" s="966">
        <f>E13*'Build.vs.No-Build'!F4</f>
        <v>1231535158.0362751</v>
      </c>
      <c r="F15" s="967">
        <f>F13*'Build.vs.No-Build'!G4</f>
        <v>1241436986.8164048</v>
      </c>
      <c r="G15" s="967">
        <f>G13*'Build.vs.No-Build'!H4</f>
        <v>1251418428.6003137</v>
      </c>
      <c r="H15" s="967">
        <f>H13*'Build.vs.No-Build'!I4</f>
        <v>1261480123.4950485</v>
      </c>
      <c r="I15" s="967">
        <f>I13*'Build.vs.No-Build'!J4</f>
        <v>1271622716.7542634</v>
      </c>
      <c r="J15" s="967">
        <f>J13*'Build.vs.No-Build'!K4</f>
        <v>1281846858.8196034</v>
      </c>
      <c r="K15" s="967">
        <f>K13*'Build.vs.No-Build'!L4</f>
        <v>1292153205.3624158</v>
      </c>
      <c r="L15" s="967">
        <f>L13*'Build.vs.No-Build'!M4</f>
        <v>1302542417.3257968</v>
      </c>
      <c r="M15" s="967">
        <f>M13*'Build.vs.No-Build'!N4</f>
        <v>1313015160.966979</v>
      </c>
      <c r="N15" s="967">
        <f>N13*'Build.vs.No-Build'!O4</f>
        <v>1323572107.900058</v>
      </c>
      <c r="O15" s="967">
        <f>O13*'Build.vs.No-Build'!P4</f>
        <v>1334213935.1390617</v>
      </c>
      <c r="P15" s="967">
        <f>P13*'Build.vs.No-Build'!Q4</f>
        <v>1344941325.1413705</v>
      </c>
      <c r="Q15" s="967">
        <f>Q13*'Build.vs.No-Build'!R4</f>
        <v>1355754965.8514788</v>
      </c>
      <c r="R15" s="967">
        <f>R13*'Build.vs.No-Build'!S4</f>
        <v>1366655550.7451153</v>
      </c>
      <c r="S15" s="967">
        <f>S13*'Build.vs.No-Build'!T4</f>
        <v>1377643778.8737142</v>
      </c>
      <c r="T15" s="967">
        <f>T13*'Build.vs.No-Build'!U4</f>
        <v>1388720354.9092453</v>
      </c>
      <c r="U15" s="967">
        <f>U13*'Build.vs.No-Build'!V4</f>
        <v>1399885989.189405</v>
      </c>
      <c r="V15" s="967">
        <f>V13*'Build.vs.No-Build'!W4</f>
        <v>1411141397.7631712</v>
      </c>
      <c r="W15" s="967">
        <f>W13*'Build.vs.No-Build'!X4</f>
        <v>1422487302.4367204</v>
      </c>
      <c r="X15" s="967">
        <f>X13*'Build.vs.No-Build'!Y4</f>
        <v>1433924430.8197188</v>
      </c>
      <c r="Y15" s="968">
        <f>Y13*'Build.vs.No-Build'!Z4</f>
        <v>1445453516.3719838</v>
      </c>
      <c r="Z15" s="1023"/>
    </row>
    <row r="16" spans="2:26" ht="25.5" x14ac:dyDescent="0.25">
      <c r="B16" s="964" t="s">
        <v>640</v>
      </c>
      <c r="C16" s="965" t="s">
        <v>343</v>
      </c>
      <c r="D16" s="958"/>
      <c r="E16" s="966">
        <f>(E14-E13)*'Build.vs.No-Build'!F61</f>
        <v>17553708.024488043</v>
      </c>
      <c r="F16" s="967">
        <f>(F14-F13)*'Build.vs.No-Build'!G61</f>
        <v>18026459.626550969</v>
      </c>
      <c r="G16" s="967">
        <f>(G14-G13)*'Build.vs.No-Build'!H61</f>
        <v>18506948.343322009</v>
      </c>
      <c r="H16" s="967">
        <f>(H14-H13)*'Build.vs.No-Build'!I61</f>
        <v>18995282.067273229</v>
      </c>
      <c r="I16" s="967">
        <f>(I14-I13)*'Build.vs.No-Build'!J61</f>
        <v>19491570.079787973</v>
      </c>
      <c r="J16" s="967">
        <f>(J14-J13)*'Build.vs.No-Build'!K61</f>
        <v>19995923.068202756</v>
      </c>
      <c r="K16" s="967">
        <f>(K14-K13)*'Build.vs.No-Build'!L61</f>
        <v>20508453.143051434</v>
      </c>
      <c r="L16" s="967">
        <f>(L14-L13)*'Build.vs.No-Build'!M61</f>
        <v>21029273.855515674</v>
      </c>
      <c r="M16" s="967">
        <f>(M14-M13)*'Build.vs.No-Build'!N61</f>
        <v>21558500.215080988</v>
      </c>
      <c r="N16" s="967">
        <f>(N14-N13)*'Build.vs.No-Build'!O61</f>
        <v>22096248.707402963</v>
      </c>
      <c r="O16" s="967">
        <f>(O14-O13)*'Build.vs.No-Build'!P61</f>
        <v>22642637.312386394</v>
      </c>
      <c r="P16" s="967">
        <f>(P14-P13)*'Build.vs.No-Build'!Q61</f>
        <v>23197785.522477519</v>
      </c>
      <c r="Q16" s="967">
        <f>(Q14-Q13)*'Build.vs.No-Build'!R61</f>
        <v>23761814.361175209</v>
      </c>
      <c r="R16" s="967">
        <f>(R14-R13)*'Build.vs.No-Build'!S61</f>
        <v>24334846.401759636</v>
      </c>
      <c r="S16" s="967">
        <f>(S14-S13)*'Build.vs.No-Build'!T61</f>
        <v>24917005.78624481</v>
      </c>
      <c r="T16" s="967">
        <f>(T14-T13)*'Build.vs.No-Build'!U61</f>
        <v>25508418.244555056</v>
      </c>
      <c r="U16" s="967">
        <f>(U14-U13)*'Build.vs.No-Build'!V61</f>
        <v>26109211.113929033</v>
      </c>
      <c r="V16" s="967">
        <f>(V14-V13)*'Build.vs.No-Build'!W61</f>
        <v>26719513.358552326</v>
      </c>
      <c r="W16" s="967">
        <f>(W14-W13)*'Build.vs.No-Build'!X61</f>
        <v>27339455.589425355</v>
      </c>
      <c r="X16" s="967">
        <f>(X14-X13)*'Build.vs.No-Build'!Y61</f>
        <v>27969170.0844648</v>
      </c>
      <c r="Y16" s="968">
        <f>(Y14-Y13)*'Build.vs.No-Build'!Z61</f>
        <v>28608790.80884273</v>
      </c>
      <c r="Z16" s="967"/>
    </row>
    <row r="17" spans="2:26" ht="18" customHeight="1" x14ac:dyDescent="0.25">
      <c r="B17" s="969" t="s">
        <v>641</v>
      </c>
      <c r="C17" s="965" t="s">
        <v>344</v>
      </c>
      <c r="D17" s="958"/>
      <c r="E17" s="966">
        <f>E16*$D$6</f>
        <v>5424095.7795668058</v>
      </c>
      <c r="F17" s="967">
        <f t="shared" ref="F17:Y17" si="1">F16*$D$6</f>
        <v>5570176.0246042507</v>
      </c>
      <c r="G17" s="967">
        <f t="shared" si="1"/>
        <v>5718647.0380865019</v>
      </c>
      <c r="H17" s="967">
        <f t="shared" si="1"/>
        <v>5869542.1587874293</v>
      </c>
      <c r="I17" s="967">
        <f t="shared" si="1"/>
        <v>6022895.1546544852</v>
      </c>
      <c r="J17" s="967">
        <f t="shared" si="1"/>
        <v>6178740.2280746531</v>
      </c>
      <c r="K17" s="967">
        <f t="shared" si="1"/>
        <v>6337112.0212028939</v>
      </c>
      <c r="L17" s="967">
        <f t="shared" si="1"/>
        <v>6498045.6213543443</v>
      </c>
      <c r="M17" s="967">
        <f t="shared" si="1"/>
        <v>6661576.5664600264</v>
      </c>
      <c r="N17" s="967">
        <f t="shared" si="1"/>
        <v>6827740.850587517</v>
      </c>
      <c r="O17" s="967">
        <f t="shared" si="1"/>
        <v>6996574.9295273963</v>
      </c>
      <c r="P17" s="967">
        <f t="shared" si="1"/>
        <v>7168115.7264455548</v>
      </c>
      <c r="Q17" s="967">
        <f t="shared" si="1"/>
        <v>7342400.6376031414</v>
      </c>
      <c r="R17" s="967">
        <f t="shared" si="1"/>
        <v>7519467.5381437289</v>
      </c>
      <c r="S17" s="967">
        <f t="shared" si="1"/>
        <v>7699354.7879496478</v>
      </c>
      <c r="T17" s="967">
        <f t="shared" si="1"/>
        <v>7882101.2375675132</v>
      </c>
      <c r="U17" s="967">
        <f t="shared" si="1"/>
        <v>8067746.2342040725</v>
      </c>
      <c r="V17" s="967">
        <f t="shared" si="1"/>
        <v>8256329.6277926704</v>
      </c>
      <c r="W17" s="967">
        <f t="shared" si="1"/>
        <v>8447891.7771324366</v>
      </c>
      <c r="X17" s="967">
        <f t="shared" si="1"/>
        <v>8642473.5560996253</v>
      </c>
      <c r="Y17" s="968">
        <f t="shared" si="1"/>
        <v>8840116.3599324059</v>
      </c>
      <c r="Z17" s="967"/>
    </row>
    <row r="18" spans="2:26" ht="18" customHeight="1" x14ac:dyDescent="0.25">
      <c r="B18" s="969"/>
      <c r="C18" s="965"/>
      <c r="D18" s="958"/>
      <c r="E18" s="966"/>
      <c r="F18" s="967"/>
      <c r="G18" s="967"/>
      <c r="H18" s="967"/>
      <c r="I18" s="967"/>
      <c r="J18" s="967"/>
      <c r="K18" s="967"/>
      <c r="L18" s="967"/>
      <c r="M18" s="967"/>
      <c r="N18" s="967"/>
      <c r="O18" s="967"/>
      <c r="P18" s="967"/>
      <c r="Q18" s="967"/>
      <c r="R18" s="967"/>
      <c r="S18" s="967"/>
      <c r="T18" s="967"/>
      <c r="U18" s="967"/>
      <c r="V18" s="967"/>
      <c r="W18" s="967"/>
      <c r="X18" s="967"/>
      <c r="Y18" s="968"/>
      <c r="Z18" s="1029"/>
    </row>
    <row r="19" spans="2:26" ht="18" customHeight="1" x14ac:dyDescent="0.25">
      <c r="B19" s="1027" t="s">
        <v>643</v>
      </c>
      <c r="C19" s="965"/>
      <c r="D19" s="958"/>
      <c r="E19" s="966"/>
      <c r="F19" s="967"/>
      <c r="G19" s="967"/>
      <c r="H19" s="967"/>
      <c r="I19" s="967"/>
      <c r="J19" s="967"/>
      <c r="K19" s="967"/>
      <c r="L19" s="967"/>
      <c r="M19" s="967"/>
      <c r="N19" s="967"/>
      <c r="O19" s="967"/>
      <c r="P19" s="967"/>
      <c r="Q19" s="967"/>
      <c r="R19" s="967"/>
      <c r="S19" s="967"/>
      <c r="T19" s="967"/>
      <c r="U19" s="967"/>
      <c r="V19" s="967"/>
      <c r="W19" s="967"/>
      <c r="X19" s="967"/>
      <c r="Y19" s="968"/>
      <c r="Z19" s="1029"/>
    </row>
    <row r="20" spans="2:26" ht="18" customHeight="1" x14ac:dyDescent="0.25">
      <c r="B20" s="969" t="s">
        <v>1016</v>
      </c>
      <c r="C20" s="965"/>
      <c r="D20" s="958"/>
      <c r="E20" s="1474">
        <f>'Build.vs.No-Build'!F70</f>
        <v>3.7522954610308141</v>
      </c>
      <c r="F20" s="1062">
        <f>'Build.vs.No-Build'!G70</f>
        <v>3.7509425899670066</v>
      </c>
      <c r="G20" s="1062">
        <f>'Build.vs.No-Build'!H70</f>
        <v>3.7495902066739886</v>
      </c>
      <c r="H20" s="1062">
        <f>'Build.vs.No-Build'!I70</f>
        <v>3.7482383109758945</v>
      </c>
      <c r="I20" s="1062">
        <f>'Build.vs.No-Build'!J70</f>
        <v>3.7468869026969265</v>
      </c>
      <c r="J20" s="1062">
        <f>'Build.vs.No-Build'!K70</f>
        <v>3.7455359816613472</v>
      </c>
      <c r="K20" s="1062">
        <f>'Build.vs.No-Build'!L70</f>
        <v>3.7441855476934829</v>
      </c>
      <c r="L20" s="1062">
        <f>'Build.vs.No-Build'!M70</f>
        <v>3.742835600617723</v>
      </c>
      <c r="M20" s="1062">
        <f>'Build.vs.No-Build'!N70</f>
        <v>3.7414861402585249</v>
      </c>
      <c r="N20" s="1062">
        <f>'Build.vs.No-Build'!O70</f>
        <v>3.7401371664404031</v>
      </c>
      <c r="O20" s="1062">
        <f>'Build.vs.No-Build'!P70</f>
        <v>3.738788678987937</v>
      </c>
      <c r="P20" s="1062">
        <f>'Build.vs.No-Build'!Q70</f>
        <v>3.7374406777257678</v>
      </c>
      <c r="Q20" s="1062">
        <f>'Build.vs.No-Build'!R70</f>
        <v>3.7360931624786082</v>
      </c>
      <c r="R20" s="1062">
        <f>'Build.vs.No-Build'!S70</f>
        <v>3.7347461330712237</v>
      </c>
      <c r="S20" s="1062">
        <f>'Build.vs.No-Build'!T70</f>
        <v>3.7333995893284482</v>
      </c>
      <c r="T20" s="1062">
        <f>'Build.vs.No-Build'!U70</f>
        <v>3.7320535310751755</v>
      </c>
      <c r="U20" s="1062">
        <f>'Build.vs.No-Build'!V70</f>
        <v>3.7307079581363687</v>
      </c>
      <c r="V20" s="1062">
        <f>'Build.vs.No-Build'!W70</f>
        <v>3.7293628703370487</v>
      </c>
      <c r="W20" s="1062">
        <f>'Build.vs.No-Build'!X70</f>
        <v>3.7280182675022995</v>
      </c>
      <c r="X20" s="1062">
        <f>'Build.vs.No-Build'!Y70</f>
        <v>3.7266741494572715</v>
      </c>
      <c r="Y20" s="1063">
        <f>'Build.vs.No-Build'!Z70</f>
        <v>3.7253305160271761</v>
      </c>
      <c r="Z20" s="1029"/>
    </row>
    <row r="21" spans="2:26" ht="18" customHeight="1" x14ac:dyDescent="0.25">
      <c r="B21" s="969" t="s">
        <v>1017</v>
      </c>
      <c r="C21" s="965"/>
      <c r="D21" s="958"/>
      <c r="E21" s="1474">
        <f>'Build.vs.No-Build'!F78</f>
        <v>3.9343004062765923</v>
      </c>
      <c r="F21" s="1062">
        <f>'Build.vs.No-Build'!G78</f>
        <v>3.9359944628791088</v>
      </c>
      <c r="G21" s="1062">
        <f>'Build.vs.No-Build'!H78</f>
        <v>3.9376892489195128</v>
      </c>
      <c r="H21" s="1062">
        <f>'Build.vs.No-Build'!I78</f>
        <v>3.939384764711888</v>
      </c>
      <c r="I21" s="1062">
        <f>'Build.vs.No-Build'!J78</f>
        <v>3.9410810105704583</v>
      </c>
      <c r="J21" s="1062">
        <f>'Build.vs.No-Build'!K78</f>
        <v>3.9427779868095776</v>
      </c>
      <c r="K21" s="1062">
        <f>'Build.vs.No-Build'!L78</f>
        <v>3.94447569374374</v>
      </c>
      <c r="L21" s="1062">
        <f>'Build.vs.No-Build'!M78</f>
        <v>3.9461741316875725</v>
      </c>
      <c r="M21" s="1062">
        <f>'Build.vs.No-Build'!N78</f>
        <v>3.9478733009558371</v>
      </c>
      <c r="N21" s="1062">
        <f>'Build.vs.No-Build'!O78</f>
        <v>3.9495732018634322</v>
      </c>
      <c r="O21" s="1062">
        <f>'Build.vs.No-Build'!P78</f>
        <v>3.9512738347253942</v>
      </c>
      <c r="P21" s="1062">
        <f>'Build.vs.No-Build'!Q78</f>
        <v>3.9529751998568896</v>
      </c>
      <c r="Q21" s="1062">
        <f>'Build.vs.No-Build'!R78</f>
        <v>3.9546772975732263</v>
      </c>
      <c r="R21" s="1062">
        <f>'Build.vs.No-Build'!S78</f>
        <v>3.956380128189843</v>
      </c>
      <c r="S21" s="1062">
        <f>'Build.vs.No-Build'!T78</f>
        <v>3.9580836920223188</v>
      </c>
      <c r="T21" s="1062">
        <f>'Build.vs.No-Build'!U78</f>
        <v>3.9597879893863661</v>
      </c>
      <c r="U21" s="1062">
        <f>'Build.vs.No-Build'!V78</f>
        <v>3.9614930205978314</v>
      </c>
      <c r="V21" s="1062">
        <f>'Build.vs.No-Build'!W78</f>
        <v>3.9631987859727031</v>
      </c>
      <c r="W21" s="1062">
        <f>'Build.vs.No-Build'!X78</f>
        <v>3.9649052858271006</v>
      </c>
      <c r="X21" s="1062">
        <f>'Build.vs.No-Build'!Y78</f>
        <v>3.9666125204772791</v>
      </c>
      <c r="Y21" s="1063">
        <f>'Build.vs.No-Build'!Z78</f>
        <v>3.9683204902396345</v>
      </c>
      <c r="Z21" s="1029"/>
    </row>
    <row r="22" spans="2:26" ht="18" customHeight="1" x14ac:dyDescent="0.25">
      <c r="B22" s="969" t="s">
        <v>867</v>
      </c>
      <c r="C22" s="965"/>
      <c r="D22" s="958"/>
      <c r="E22" s="966">
        <f>E20*'Build.vs.No-Build'!F5</f>
        <v>667203757.74209559</v>
      </c>
      <c r="F22" s="967">
        <f>F20*'Build.vs.No-Build'!G5</f>
        <v>667486561.77678645</v>
      </c>
      <c r="G22" s="967">
        <f>G20*'Build.vs.No-Build'!H5</f>
        <v>667769485.68208861</v>
      </c>
      <c r="H22" s="967">
        <f>H20*'Build.vs.No-Build'!I5</f>
        <v>668052529.5088104</v>
      </c>
      <c r="I22" s="967">
        <f>I20*'Build.vs.No-Build'!J5</f>
        <v>668335693.30778241</v>
      </c>
      <c r="J22" s="967">
        <f>J20*'Build.vs.No-Build'!K5</f>
        <v>668618977.12985671</v>
      </c>
      <c r="K22" s="967">
        <f>K20*'Build.vs.No-Build'!L5</f>
        <v>668902381.0259068</v>
      </c>
      <c r="L22" s="967">
        <f>L20*'Build.vs.No-Build'!M5</f>
        <v>669185905.04682732</v>
      </c>
      <c r="M22" s="967">
        <f>M20*'Build.vs.No-Build'!N5</f>
        <v>669469549.243536</v>
      </c>
      <c r="N22" s="967">
        <f>N20*'Build.vs.No-Build'!O5</f>
        <v>669753313.66697037</v>
      </c>
      <c r="O22" s="967">
        <f>O20*'Build.vs.No-Build'!P5</f>
        <v>670037198.36809063</v>
      </c>
      <c r="P22" s="967">
        <f>P20*'Build.vs.No-Build'!Q5</f>
        <v>670321203.3978771</v>
      </c>
      <c r="Q22" s="967">
        <f>Q20*'Build.vs.No-Build'!R5</f>
        <v>670605328.80733454</v>
      </c>
      <c r="R22" s="967">
        <f>R20*'Build.vs.No-Build'!S5</f>
        <v>670889574.64748681</v>
      </c>
      <c r="S22" s="967">
        <f>S20*'Build.vs.No-Build'!T5</f>
        <v>671173940.96938014</v>
      </c>
      <c r="T22" s="967">
        <f>T20*'Build.vs.No-Build'!U5</f>
        <v>671458427.82408202</v>
      </c>
      <c r="U22" s="967">
        <f>U20*'Build.vs.No-Build'!V5</f>
        <v>671743035.26268315</v>
      </c>
      <c r="V22" s="967">
        <f>V20*'Build.vs.No-Build'!W5</f>
        <v>672027763.33629417</v>
      </c>
      <c r="W22" s="967">
        <f>W20*'Build.vs.No-Build'!X5</f>
        <v>672312612.09604788</v>
      </c>
      <c r="X22" s="967">
        <f>X20*'Build.vs.No-Build'!Y5</f>
        <v>672597581.59309912</v>
      </c>
      <c r="Y22" s="968">
        <f>Y20*'Build.vs.No-Build'!Z5</f>
        <v>672882671.87862408</v>
      </c>
      <c r="Z22" s="1029"/>
    </row>
    <row r="23" spans="2:26" ht="25.5" x14ac:dyDescent="0.25">
      <c r="B23" s="964" t="s">
        <v>640</v>
      </c>
      <c r="C23" s="965" t="s">
        <v>471</v>
      </c>
      <c r="D23" s="958"/>
      <c r="E23" s="966">
        <f>(E21-E20)*'Build.vs.No-Build'!F62</f>
        <v>9528918.8035802487</v>
      </c>
      <c r="F23" s="967">
        <f>(F21-F20)*'Build.vs.No-Build'!G62</f>
        <v>9710732.7679342721</v>
      </c>
      <c r="G23" s="967">
        <f>(G21-G20)*'Build.vs.No-Build'!H62</f>
        <v>9893345.637348894</v>
      </c>
      <c r="H23" s="967">
        <f>(H21-H20)*'Build.vs.No-Build'!I62</f>
        <v>10076760.180679746</v>
      </c>
      <c r="I23" s="967">
        <f>(I21-I20)*'Build.vs.No-Build'!J62</f>
        <v>10260979.175484454</v>
      </c>
      <c r="J23" s="967">
        <f>(J21-J20)*'Build.vs.No-Build'!K62</f>
        <v>10446005.408048468</v>
      </c>
      <c r="K23" s="967">
        <f>(K21-K20)*'Build.vs.No-Build'!L62</f>
        <v>10631841.673411479</v>
      </c>
      <c r="L23" s="967">
        <f>(L21-L20)*'Build.vs.No-Build'!M62</f>
        <v>10818490.775393201</v>
      </c>
      <c r="M23" s="967">
        <f>(M21-M20)*'Build.vs.No-Build'!N62</f>
        <v>11005955.526619427</v>
      </c>
      <c r="N23" s="967">
        <f>(N21-N20)*'Build.vs.No-Build'!O62</f>
        <v>11194238.748548929</v>
      </c>
      <c r="O23" s="967">
        <f>(O21-O20)*'Build.vs.No-Build'!P62</f>
        <v>11383343.271499522</v>
      </c>
      <c r="P23" s="967">
        <f>(P21-P20)*'Build.vs.No-Build'!Q62</f>
        <v>11573271.934674235</v>
      </c>
      <c r="Q23" s="967">
        <f>(Q21-Q20)*'Build.vs.No-Build'!R62</f>
        <v>11764027.58618788</v>
      </c>
      <c r="R23" s="967">
        <f>(R21-R20)*'Build.vs.No-Build'!S62</f>
        <v>11955613.083094094</v>
      </c>
      <c r="S23" s="967">
        <f>(S21-S20)*'Build.vs.No-Build'!T62</f>
        <v>12148031.291411672</v>
      </c>
      <c r="T23" s="967">
        <f>(T21-T20)*'Build.vs.No-Build'!U62</f>
        <v>12341285.086151365</v>
      </c>
      <c r="U23" s="967">
        <f>(U21-U20)*'Build.vs.No-Build'!V62</f>
        <v>12535377.351342263</v>
      </c>
      <c r="V23" s="967">
        <f>(V21-V20)*'Build.vs.No-Build'!W62</f>
        <v>12730310.980059715</v>
      </c>
      <c r="W23" s="967">
        <f>(W21-W20)*'Build.vs.No-Build'!X62</f>
        <v>12926088.874451419</v>
      </c>
      <c r="X23" s="967">
        <f>(X21-X20)*'Build.vs.No-Build'!Y62</f>
        <v>13122713.945764568</v>
      </c>
      <c r="Y23" s="968">
        <f>(Y21-Y20)*'Build.vs.No-Build'!Z62</f>
        <v>13320189.114373522</v>
      </c>
      <c r="Z23" s="967"/>
    </row>
    <row r="24" spans="2:26" ht="18" customHeight="1" x14ac:dyDescent="0.25">
      <c r="B24" s="969" t="s">
        <v>641</v>
      </c>
      <c r="C24" s="965" t="s">
        <v>345</v>
      </c>
      <c r="D24" s="958"/>
      <c r="E24" s="966">
        <f>E23*$D$6</f>
        <v>2944435.9103062972</v>
      </c>
      <c r="F24" s="967">
        <f t="shared" ref="F24:Y24" si="2">F23*$D$6</f>
        <v>3000616.4252916905</v>
      </c>
      <c r="G24" s="967">
        <f t="shared" si="2"/>
        <v>3057043.801940809</v>
      </c>
      <c r="H24" s="967">
        <f t="shared" si="2"/>
        <v>3113718.8958300422</v>
      </c>
      <c r="I24" s="967">
        <f t="shared" si="2"/>
        <v>3170642.5652246969</v>
      </c>
      <c r="J24" s="967">
        <f t="shared" si="2"/>
        <v>3227815.6710869772</v>
      </c>
      <c r="K24" s="967">
        <f t="shared" si="2"/>
        <v>3285239.0770841478</v>
      </c>
      <c r="L24" s="967">
        <f t="shared" si="2"/>
        <v>3342913.6495964997</v>
      </c>
      <c r="M24" s="967">
        <f t="shared" si="2"/>
        <v>3400840.2577254036</v>
      </c>
      <c r="N24" s="967">
        <f t="shared" si="2"/>
        <v>3459019.7733016196</v>
      </c>
      <c r="O24" s="967">
        <f t="shared" si="2"/>
        <v>3517453.0708933529</v>
      </c>
      <c r="P24" s="967">
        <f t="shared" si="2"/>
        <v>3576141.0278143394</v>
      </c>
      <c r="Q24" s="967">
        <f t="shared" si="2"/>
        <v>3635084.5241320557</v>
      </c>
      <c r="R24" s="967">
        <f t="shared" si="2"/>
        <v>3694284.4426760757</v>
      </c>
      <c r="S24" s="967">
        <f t="shared" si="2"/>
        <v>3753741.6690462073</v>
      </c>
      <c r="T24" s="967">
        <f t="shared" si="2"/>
        <v>3813457.0916207726</v>
      </c>
      <c r="U24" s="967">
        <f t="shared" si="2"/>
        <v>3873431.6015647599</v>
      </c>
      <c r="V24" s="967">
        <f t="shared" si="2"/>
        <v>3933666.0928384527</v>
      </c>
      <c r="W24" s="967">
        <f t="shared" si="2"/>
        <v>3994161.4622054892</v>
      </c>
      <c r="X24" s="967">
        <f t="shared" si="2"/>
        <v>4054918.6092412523</v>
      </c>
      <c r="Y24" s="968">
        <f t="shared" si="2"/>
        <v>4115938.4363414189</v>
      </c>
      <c r="Z24" s="967"/>
    </row>
    <row r="25" spans="2:26" ht="18" customHeight="1" x14ac:dyDescent="0.25">
      <c r="B25" s="969"/>
      <c r="C25" s="965"/>
      <c r="D25" s="958"/>
      <c r="E25" s="966"/>
      <c r="F25" s="967"/>
      <c r="G25" s="967"/>
      <c r="H25" s="967"/>
      <c r="I25" s="967"/>
      <c r="J25" s="967"/>
      <c r="K25" s="967"/>
      <c r="L25" s="967"/>
      <c r="M25" s="967"/>
      <c r="N25" s="967"/>
      <c r="O25" s="967"/>
      <c r="P25" s="967"/>
      <c r="Q25" s="967"/>
      <c r="R25" s="967"/>
      <c r="S25" s="967"/>
      <c r="T25" s="967"/>
      <c r="U25" s="967"/>
      <c r="V25" s="967"/>
      <c r="W25" s="967"/>
      <c r="X25" s="967"/>
      <c r="Y25" s="968"/>
      <c r="Z25" s="1029"/>
    </row>
    <row r="26" spans="2:26" ht="18" customHeight="1" x14ac:dyDescent="0.25">
      <c r="B26" s="1027" t="s">
        <v>644</v>
      </c>
      <c r="C26" s="965"/>
      <c r="D26" s="958"/>
      <c r="E26" s="966"/>
      <c r="F26" s="967"/>
      <c r="G26" s="967"/>
      <c r="H26" s="967"/>
      <c r="I26" s="967"/>
      <c r="J26" s="967"/>
      <c r="K26" s="967"/>
      <c r="L26" s="967"/>
      <c r="M26" s="967"/>
      <c r="N26" s="967"/>
      <c r="O26" s="967"/>
      <c r="P26" s="967"/>
      <c r="Q26" s="967"/>
      <c r="R26" s="967"/>
      <c r="S26" s="967"/>
      <c r="T26" s="967"/>
      <c r="U26" s="967"/>
      <c r="V26" s="967"/>
      <c r="W26" s="967"/>
      <c r="X26" s="967"/>
      <c r="Y26" s="968"/>
      <c r="Z26" s="1029"/>
    </row>
    <row r="27" spans="2:26" ht="18" customHeight="1" x14ac:dyDescent="0.25">
      <c r="B27" s="969" t="s">
        <v>1016</v>
      </c>
      <c r="C27" s="965"/>
      <c r="D27" s="958"/>
      <c r="E27" s="1474">
        <f>'Build.vs.No-Build'!F71</f>
        <v>3.7522954610308137</v>
      </c>
      <c r="F27" s="1062">
        <f>'Build.vs.No-Build'!G71</f>
        <v>3.7509425899670075</v>
      </c>
      <c r="G27" s="1062">
        <f>'Build.vs.No-Build'!H71</f>
        <v>3.7495902066739895</v>
      </c>
      <c r="H27" s="1062">
        <f>'Build.vs.No-Build'!I71</f>
        <v>3.7482383109758968</v>
      </c>
      <c r="I27" s="1062">
        <f>'Build.vs.No-Build'!J71</f>
        <v>3.7468869026969296</v>
      </c>
      <c r="J27" s="1062">
        <f>'Build.vs.No-Build'!K71</f>
        <v>3.7455359816613507</v>
      </c>
      <c r="K27" s="1062">
        <f>'Build.vs.No-Build'!L71</f>
        <v>3.7441855476934873</v>
      </c>
      <c r="L27" s="1062">
        <f>'Build.vs.No-Build'!M71</f>
        <v>3.7428356006177301</v>
      </c>
      <c r="M27" s="1062">
        <f>'Build.vs.No-Build'!N71</f>
        <v>3.7414861402585329</v>
      </c>
      <c r="N27" s="1062">
        <f>'Build.vs.No-Build'!O71</f>
        <v>3.7401371664404102</v>
      </c>
      <c r="O27" s="1062">
        <f>'Build.vs.No-Build'!P71</f>
        <v>3.738788678987945</v>
      </c>
      <c r="P27" s="1062">
        <f>'Build.vs.No-Build'!Q71</f>
        <v>3.7374406777257794</v>
      </c>
      <c r="Q27" s="1062">
        <f>'Build.vs.No-Build'!R71</f>
        <v>3.7360931624786193</v>
      </c>
      <c r="R27" s="1062">
        <f>'Build.vs.No-Build'!S71</f>
        <v>3.7347461330712362</v>
      </c>
      <c r="S27" s="1062">
        <f>'Build.vs.No-Build'!T71</f>
        <v>3.7333995893284606</v>
      </c>
      <c r="T27" s="1062">
        <f>'Build.vs.No-Build'!U71</f>
        <v>3.7320535310751906</v>
      </c>
      <c r="U27" s="1062">
        <f>'Build.vs.No-Build'!V71</f>
        <v>3.7307079581363842</v>
      </c>
      <c r="V27" s="1062">
        <f>'Build.vs.No-Build'!W71</f>
        <v>3.7293628703370652</v>
      </c>
      <c r="W27" s="1062">
        <f>'Build.vs.No-Build'!X71</f>
        <v>3.7280182675023168</v>
      </c>
      <c r="X27" s="1062">
        <f>'Build.vs.No-Build'!Y71</f>
        <v>3.7266741494572897</v>
      </c>
      <c r="Y27" s="1063">
        <f>'Build.vs.No-Build'!Z71</f>
        <v>3.7253305160271957</v>
      </c>
      <c r="Z27" s="1029"/>
    </row>
    <row r="28" spans="2:26" ht="18" customHeight="1" x14ac:dyDescent="0.25">
      <c r="B28" s="969" t="s">
        <v>1017</v>
      </c>
      <c r="C28" s="965"/>
      <c r="D28" s="958"/>
      <c r="E28" s="1474">
        <f>'Build.vs.No-Build'!F79</f>
        <v>3.9343004062765927</v>
      </c>
      <c r="F28" s="1062">
        <f>'Build.vs.No-Build'!G79</f>
        <v>3.9359944628791097</v>
      </c>
      <c r="G28" s="1062">
        <f>'Build.vs.No-Build'!H79</f>
        <v>3.9376892489195119</v>
      </c>
      <c r="H28" s="1062">
        <f>'Build.vs.No-Build'!I79</f>
        <v>3.9393847647118876</v>
      </c>
      <c r="I28" s="1062">
        <f>'Build.vs.No-Build'!J79</f>
        <v>3.9410810105704552</v>
      </c>
      <c r="J28" s="1062">
        <f>'Build.vs.No-Build'!K79</f>
        <v>3.9427779868095754</v>
      </c>
      <c r="K28" s="1062">
        <f>'Build.vs.No-Build'!L79</f>
        <v>3.9444756937437369</v>
      </c>
      <c r="L28" s="1062">
        <f>'Build.vs.No-Build'!M79</f>
        <v>3.946174131687568</v>
      </c>
      <c r="M28" s="1062">
        <f>'Build.vs.No-Build'!N79</f>
        <v>3.9478733009558322</v>
      </c>
      <c r="N28" s="1062">
        <f>'Build.vs.No-Build'!O79</f>
        <v>3.9495732018634291</v>
      </c>
      <c r="O28" s="1062">
        <f>'Build.vs.No-Build'!P79</f>
        <v>3.9512738347253888</v>
      </c>
      <c r="P28" s="1062">
        <f>'Build.vs.No-Build'!Q79</f>
        <v>3.9529751998568825</v>
      </c>
      <c r="Q28" s="1062">
        <f>'Build.vs.No-Build'!R79</f>
        <v>3.9546772975732187</v>
      </c>
      <c r="R28" s="1062">
        <f>'Build.vs.No-Build'!S79</f>
        <v>3.956380128189835</v>
      </c>
      <c r="S28" s="1062">
        <f>'Build.vs.No-Build'!T79</f>
        <v>3.9580836920223113</v>
      </c>
      <c r="T28" s="1062">
        <f>'Build.vs.No-Build'!U79</f>
        <v>3.9597879893863563</v>
      </c>
      <c r="U28" s="1062">
        <f>'Build.vs.No-Build'!V79</f>
        <v>3.961493020597822</v>
      </c>
      <c r="V28" s="1062">
        <f>'Build.vs.No-Build'!W79</f>
        <v>3.9631987859726934</v>
      </c>
      <c r="W28" s="1062">
        <f>'Build.vs.No-Build'!X79</f>
        <v>3.9649052858270899</v>
      </c>
      <c r="X28" s="1062">
        <f>'Build.vs.No-Build'!Y79</f>
        <v>3.9666125204772693</v>
      </c>
      <c r="Y28" s="1063">
        <f>'Build.vs.No-Build'!Z79</f>
        <v>3.9683204902396225</v>
      </c>
      <c r="Z28" s="1029"/>
    </row>
    <row r="29" spans="2:26" ht="18" customHeight="1" x14ac:dyDescent="0.25">
      <c r="B29" s="969" t="s">
        <v>867</v>
      </c>
      <c r="C29" s="965"/>
      <c r="D29" s="958"/>
      <c r="E29" s="966">
        <f>E27*'Build.vs.No-Build'!F6</f>
        <v>405323290.80939221</v>
      </c>
      <c r="F29" s="967">
        <f>F27*'Build.vs.No-Build'!G6</f>
        <v>408541558.98965234</v>
      </c>
      <c r="G29" s="967">
        <f>G27*'Build.vs.No-Build'!H6</f>
        <v>411785380.22919846</v>
      </c>
      <c r="H29" s="967">
        <f>H27*'Build.vs.No-Build'!I6</f>
        <v>415054957.41940033</v>
      </c>
      <c r="I29" s="967">
        <f>I27*'Build.vs.No-Build'!J6</f>
        <v>418350495.06258571</v>
      </c>
      <c r="J29" s="967">
        <f>J27*'Build.vs.No-Build'!K6</f>
        <v>421672199.28483117</v>
      </c>
      <c r="K29" s="967">
        <f>K27*'Build.vs.No-Build'!L6</f>
        <v>425020277.84885532</v>
      </c>
      <c r="L29" s="967">
        <f>L27*'Build.vs.No-Build'!M6</f>
        <v>428394940.16701341</v>
      </c>
      <c r="M29" s="967">
        <f>M27*'Build.vs.No-Build'!N6</f>
        <v>431796397.31439543</v>
      </c>
      <c r="N29" s="967">
        <f>N27*'Build.vs.No-Build'!O6</f>
        <v>435224862.04202759</v>
      </c>
      <c r="O29" s="967">
        <f>O27*'Build.vs.No-Build'!P6</f>
        <v>438680548.7901811</v>
      </c>
      <c r="P29" s="967">
        <f>P27*'Build.vs.No-Build'!Q6</f>
        <v>442163673.7017827</v>
      </c>
      <c r="Q29" s="967">
        <f>Q27*'Build.vs.No-Build'!R6</f>
        <v>445674454.63593465</v>
      </c>
      <c r="R29" s="967">
        <f>R27*'Build.vs.No-Build'!S6</f>
        <v>449213111.18154174</v>
      </c>
      <c r="S29" s="967">
        <f>S27*'Build.vs.No-Build'!T6</f>
        <v>452779864.67104459</v>
      </c>
      <c r="T29" s="967">
        <f>T27*'Build.vs.No-Build'!U6</f>
        <v>456374938.19426471</v>
      </c>
      <c r="U29" s="967">
        <f>U27*'Build.vs.No-Build'!V6</f>
        <v>459998556.6123572</v>
      </c>
      <c r="V29" s="967">
        <f>V27*'Build.vs.No-Build'!W6</f>
        <v>463650946.57187557</v>
      </c>
      <c r="W29" s="967">
        <f>W27*'Build.vs.No-Build'!X6</f>
        <v>467332336.51894724</v>
      </c>
      <c r="X29" s="967">
        <f>X27*'Build.vs.No-Build'!Y6</f>
        <v>471042956.7135632</v>
      </c>
      <c r="Y29" s="968">
        <f>Y27*'Build.vs.No-Build'!Z6</f>
        <v>474783039.24397933</v>
      </c>
      <c r="Z29" s="1029"/>
    </row>
    <row r="30" spans="2:26" ht="25.5" x14ac:dyDescent="0.25">
      <c r="B30" s="964" t="s">
        <v>640</v>
      </c>
      <c r="C30" s="965" t="s">
        <v>472</v>
      </c>
      <c r="D30" s="958"/>
      <c r="E30" s="966">
        <f>(E28-E27)*'Build.vs.No-Build'!F63</f>
        <v>5777744.6162689459</v>
      </c>
      <c r="F30" s="967">
        <f>(F28-F27)*'Build.vs.No-Build'!G63</f>
        <v>5932772.5428089974</v>
      </c>
      <c r="G30" s="967">
        <f>(G28-G27)*'Build.vs.No-Build'!H63</f>
        <v>6090316.4294911306</v>
      </c>
      <c r="H30" s="967">
        <f>(H28-H27)*'Build.vs.No-Build'!I63</f>
        <v>6250411.0403958783</v>
      </c>
      <c r="I30" s="967">
        <f>(I28-I27)*'Build.vs.No-Build'!J63</f>
        <v>6413091.5829226673</v>
      </c>
      <c r="J30" s="967">
        <f>(J28-J27)*'Build.vs.No-Build'!K63</f>
        <v>6578393.7131780786</v>
      </c>
      <c r="K30" s="967">
        <f>(K28-K27)*'Build.vs.No-Build'!L63</f>
        <v>6746353.5414266074</v>
      </c>
      <c r="L30" s="967">
        <f>(L28-L27)*'Build.vs.No-Build'!M63</f>
        <v>6917007.6376064708</v>
      </c>
      <c r="M30" s="967">
        <f>(M28-M27)*'Build.vs.No-Build'!N63</f>
        <v>7090393.0369097926</v>
      </c>
      <c r="N30" s="967">
        <f>(N28-N27)*'Build.vs.No-Build'!O63</f>
        <v>7266547.2454286618</v>
      </c>
      <c r="O30" s="967">
        <f>(O28-O27)*'Build.vs.No-Build'!P63</f>
        <v>7445508.245867</v>
      </c>
      <c r="P30" s="967">
        <f>(P28-P27)*'Build.vs.No-Build'!Q63</f>
        <v>7627314.5033207117</v>
      </c>
      <c r="Q30" s="967">
        <f>(Q28-Q27)*'Build.vs.No-Build'!R63</f>
        <v>7812004.9711248158</v>
      </c>
      <c r="R30" s="967">
        <f>(R28-R27)*'Build.vs.No-Build'!S63</f>
        <v>7999619.096769196</v>
      </c>
      <c r="S30" s="967">
        <f>(S28-S27)*'Build.vs.No-Build'!T63</f>
        <v>8190196.8278848808</v>
      </c>
      <c r="T30" s="967">
        <f>(T28-T27)*'Build.vs.No-Build'!U63</f>
        <v>8383778.6182991769</v>
      </c>
      <c r="U30" s="967">
        <f>(U28-U27)*'Build.vs.No-Build'!V63</f>
        <v>8580405.4341634121</v>
      </c>
      <c r="V30" s="967">
        <f>(V28-V27)*'Build.vs.No-Build'!W63</f>
        <v>8780118.7601513062</v>
      </c>
      <c r="W30" s="967">
        <f>(W28-W27)*'Build.vs.No-Build'!X63</f>
        <v>8982960.6057308707</v>
      </c>
      <c r="X30" s="967">
        <f>(X28-X27)*'Build.vs.No-Build'!Y63</f>
        <v>9188973.5115094762</v>
      </c>
      <c r="Y30" s="968">
        <f>(Y28-Y27)*'Build.vs.No-Build'!Z63</f>
        <v>9398200.555653546</v>
      </c>
      <c r="Z30" s="967"/>
    </row>
    <row r="31" spans="2:26" ht="18" customHeight="1" x14ac:dyDescent="0.25">
      <c r="B31" s="969" t="s">
        <v>641</v>
      </c>
      <c r="C31" s="965" t="s">
        <v>473</v>
      </c>
      <c r="D31" s="958"/>
      <c r="E31" s="966">
        <f>E30*$D$6</f>
        <v>1785323.0864271047</v>
      </c>
      <c r="F31" s="967">
        <f t="shared" ref="F31:Y31" si="3">F30*$D$6</f>
        <v>1833226.7157279805</v>
      </c>
      <c r="G31" s="967">
        <f t="shared" si="3"/>
        <v>1881907.7767127596</v>
      </c>
      <c r="H31" s="967">
        <f t="shared" si="3"/>
        <v>1931377.0114823268</v>
      </c>
      <c r="I31" s="967">
        <f t="shared" si="3"/>
        <v>1981645.2991231044</v>
      </c>
      <c r="J31" s="967">
        <f t="shared" si="3"/>
        <v>2032723.6573720267</v>
      </c>
      <c r="K31" s="967">
        <f t="shared" si="3"/>
        <v>2084623.244300822</v>
      </c>
      <c r="L31" s="967">
        <f t="shared" si="3"/>
        <v>2137355.3600204</v>
      </c>
      <c r="M31" s="967">
        <f t="shared" si="3"/>
        <v>2190931.4484051261</v>
      </c>
      <c r="N31" s="967">
        <f t="shared" si="3"/>
        <v>2245363.0988374567</v>
      </c>
      <c r="O31" s="967">
        <f t="shared" si="3"/>
        <v>2300662.0479729036</v>
      </c>
      <c r="P31" s="967">
        <f t="shared" si="3"/>
        <v>2356840.1815261003</v>
      </c>
      <c r="Q31" s="967">
        <f t="shared" si="3"/>
        <v>2413909.5360775683</v>
      </c>
      <c r="R31" s="967">
        <f t="shared" si="3"/>
        <v>2471882.3009016821</v>
      </c>
      <c r="S31" s="967">
        <f t="shared" si="3"/>
        <v>2530770.8198164287</v>
      </c>
      <c r="T31" s="967">
        <f t="shared" si="3"/>
        <v>2590587.5930544459</v>
      </c>
      <c r="U31" s="967">
        <f t="shared" si="3"/>
        <v>2651345.2791564949</v>
      </c>
      <c r="V31" s="967">
        <f t="shared" si="3"/>
        <v>2713056.6968867541</v>
      </c>
      <c r="W31" s="967">
        <f t="shared" si="3"/>
        <v>2775734.8271708395</v>
      </c>
      <c r="X31" s="967">
        <f t="shared" si="3"/>
        <v>2839392.8150564288</v>
      </c>
      <c r="Y31" s="968">
        <f t="shared" si="3"/>
        <v>2904043.9716969463</v>
      </c>
      <c r="Z31" s="967"/>
    </row>
    <row r="32" spans="2:26" ht="18" customHeight="1" x14ac:dyDescent="0.25">
      <c r="B32" s="969"/>
      <c r="C32" s="965"/>
      <c r="D32" s="958"/>
      <c r="E32" s="966"/>
      <c r="F32" s="967"/>
      <c r="G32" s="967"/>
      <c r="H32" s="967"/>
      <c r="I32" s="967"/>
      <c r="J32" s="967"/>
      <c r="K32" s="967"/>
      <c r="L32" s="967"/>
      <c r="M32" s="967"/>
      <c r="N32" s="967"/>
      <c r="O32" s="967"/>
      <c r="P32" s="967"/>
      <c r="Q32" s="967"/>
      <c r="R32" s="967"/>
      <c r="S32" s="967"/>
      <c r="T32" s="967"/>
      <c r="U32" s="967"/>
      <c r="V32" s="967"/>
      <c r="W32" s="967"/>
      <c r="X32" s="967"/>
      <c r="Y32" s="968"/>
      <c r="Z32" s="1029"/>
    </row>
    <row r="33" spans="2:26" ht="18" customHeight="1" x14ac:dyDescent="0.25">
      <c r="B33" s="1027" t="s">
        <v>469</v>
      </c>
      <c r="C33" s="965"/>
      <c r="D33" s="958"/>
      <c r="E33" s="966"/>
      <c r="F33" s="967"/>
      <c r="G33" s="967"/>
      <c r="H33" s="967"/>
      <c r="I33" s="967"/>
      <c r="J33" s="967"/>
      <c r="K33" s="967"/>
      <c r="L33" s="967"/>
      <c r="M33" s="967"/>
      <c r="N33" s="967"/>
      <c r="O33" s="967"/>
      <c r="P33" s="967"/>
      <c r="Q33" s="967"/>
      <c r="R33" s="967"/>
      <c r="S33" s="967"/>
      <c r="T33" s="967"/>
      <c r="U33" s="967"/>
      <c r="V33" s="967"/>
      <c r="W33" s="967"/>
      <c r="X33" s="967"/>
      <c r="Y33" s="968"/>
      <c r="Z33" s="1029"/>
    </row>
    <row r="34" spans="2:26" ht="18" customHeight="1" x14ac:dyDescent="0.25">
      <c r="B34" s="969" t="s">
        <v>867</v>
      </c>
      <c r="C34" s="965"/>
      <c r="D34" s="958"/>
      <c r="E34" s="966">
        <f>E13*'Build.vs.No-Build'!F4+E20*'Build.vs.No-Build'!F5+E27*'Build.vs.No-Build'!F6</f>
        <v>2304062206.5877628</v>
      </c>
      <c r="F34" s="967">
        <f>F13*'Build.vs.No-Build'!G4+F20*'Build.vs.No-Build'!G5+F27*'Build.vs.No-Build'!G6</f>
        <v>2317465107.5828433</v>
      </c>
      <c r="G34" s="967">
        <f>G13*'Build.vs.No-Build'!H4+G20*'Build.vs.No-Build'!H5+G27*'Build.vs.No-Build'!H6</f>
        <v>2330973294.5116005</v>
      </c>
      <c r="H34" s="967">
        <f>H13*'Build.vs.No-Build'!I4+H20*'Build.vs.No-Build'!I5+H27*'Build.vs.No-Build'!I6</f>
        <v>2344587610.4232593</v>
      </c>
      <c r="I34" s="967">
        <f>I13*'Build.vs.No-Build'!J4+I20*'Build.vs.No-Build'!J5+I27*'Build.vs.No-Build'!J6</f>
        <v>2358308905.1246314</v>
      </c>
      <c r="J34" s="967">
        <f>J13*'Build.vs.No-Build'!K4+J20*'Build.vs.No-Build'!K5+J27*'Build.vs.No-Build'!K6</f>
        <v>2372138035.2342911</v>
      </c>
      <c r="K34" s="967">
        <f>K13*'Build.vs.No-Build'!L4+K20*'Build.vs.No-Build'!L5+K27*'Build.vs.No-Build'!L6</f>
        <v>2386075864.2371778</v>
      </c>
      <c r="L34" s="967">
        <f>L13*'Build.vs.No-Build'!M4+L20*'Build.vs.No-Build'!M5+L27*'Build.vs.No-Build'!M6</f>
        <v>2400123262.5396376</v>
      </c>
      <c r="M34" s="967">
        <f>M13*'Build.vs.No-Build'!N4+M20*'Build.vs.No-Build'!N5+M27*'Build.vs.No-Build'!N6</f>
        <v>2414281107.5249104</v>
      </c>
      <c r="N34" s="967">
        <f>N13*'Build.vs.No-Build'!O4+N20*'Build.vs.No-Build'!O5+N27*'Build.vs.No-Build'!O6</f>
        <v>2428550283.609056</v>
      </c>
      <c r="O34" s="967">
        <f>O13*'Build.vs.No-Build'!P4+O20*'Build.vs.No-Build'!P5+O27*'Build.vs.No-Build'!P6</f>
        <v>2442931682.2973332</v>
      </c>
      <c r="P34" s="967">
        <f>P13*'Build.vs.No-Build'!Q4+P20*'Build.vs.No-Build'!Q5+P27*'Build.vs.No-Build'!Q6</f>
        <v>2457426202.2410302</v>
      </c>
      <c r="Q34" s="967">
        <f>Q13*'Build.vs.No-Build'!R4+Q20*'Build.vs.No-Build'!R5+Q27*'Build.vs.No-Build'!R6</f>
        <v>2472034749.2947483</v>
      </c>
      <c r="R34" s="967">
        <f>R13*'Build.vs.No-Build'!S4+R20*'Build.vs.No-Build'!S5+R27*'Build.vs.No-Build'!S6</f>
        <v>2486758236.5741439</v>
      </c>
      <c r="S34" s="967">
        <f>S13*'Build.vs.No-Build'!T4+S20*'Build.vs.No-Build'!T5+S27*'Build.vs.No-Build'!T6</f>
        <v>2501597584.5141392</v>
      </c>
      <c r="T34" s="967">
        <f>T13*'Build.vs.No-Build'!U4+T20*'Build.vs.No-Build'!U5+T27*'Build.vs.No-Build'!U6</f>
        <v>2516553720.9275923</v>
      </c>
      <c r="U34" s="967">
        <f>U13*'Build.vs.No-Build'!V4+U20*'Build.vs.No-Build'!V5+U27*'Build.vs.No-Build'!V6</f>
        <v>2531627581.0644455</v>
      </c>
      <c r="V34" s="967">
        <f>V13*'Build.vs.No-Build'!W4+V20*'Build.vs.No-Build'!W5+V27*'Build.vs.No-Build'!W6</f>
        <v>2546820107.6713409</v>
      </c>
      <c r="W34" s="967">
        <f>W13*'Build.vs.No-Build'!X4+W20*'Build.vs.No-Build'!X5+W27*'Build.vs.No-Build'!X6</f>
        <v>2562132251.0517154</v>
      </c>
      <c r="X34" s="967">
        <f>X13*'Build.vs.No-Build'!Y4+X20*'Build.vs.No-Build'!Y5+X27*'Build.vs.No-Build'!Y6</f>
        <v>2577564969.1263809</v>
      </c>
      <c r="Y34" s="968">
        <f>Y13*'Build.vs.No-Build'!Z4+Y20*'Build.vs.No-Build'!Z5+Y27*'Build.vs.No-Build'!Z6</f>
        <v>2593119227.4945874</v>
      </c>
      <c r="Z34" s="1029"/>
    </row>
    <row r="35" spans="2:26" ht="18" customHeight="1" x14ac:dyDescent="0.25">
      <c r="B35" s="969" t="s">
        <v>470</v>
      </c>
      <c r="C35" s="965" t="s">
        <v>474</v>
      </c>
      <c r="D35" s="958"/>
      <c r="E35" s="1030">
        <f>E16+E23+E30</f>
        <v>32860371.444337241</v>
      </c>
      <c r="F35" s="1031">
        <f t="shared" ref="F35:Y35" si="4">F16+F23+F30</f>
        <v>33669964.937294237</v>
      </c>
      <c r="G35" s="1031">
        <f t="shared" si="4"/>
        <v>34490610.410162032</v>
      </c>
      <c r="H35" s="1031">
        <f t="shared" si="4"/>
        <v>35322453.288348854</v>
      </c>
      <c r="I35" s="1031">
        <f t="shared" si="4"/>
        <v>36165640.838195093</v>
      </c>
      <c r="J35" s="1031">
        <f t="shared" si="4"/>
        <v>37020322.189429298</v>
      </c>
      <c r="K35" s="1031">
        <f t="shared" si="4"/>
        <v>37886648.357889518</v>
      </c>
      <c r="L35" s="1031">
        <f t="shared" si="4"/>
        <v>38764772.268515348</v>
      </c>
      <c r="M35" s="1031">
        <f t="shared" si="4"/>
        <v>39654848.778610207</v>
      </c>
      <c r="N35" s="1031">
        <f t="shared" si="4"/>
        <v>40557034.701380551</v>
      </c>
      <c r="O35" s="1031">
        <f t="shared" si="4"/>
        <v>41471488.829752915</v>
      </c>
      <c r="P35" s="1031">
        <f t="shared" si="4"/>
        <v>42398371.960472465</v>
      </c>
      <c r="Q35" s="1031">
        <f t="shared" si="4"/>
        <v>43337846.918487906</v>
      </c>
      <c r="R35" s="1031">
        <f t="shared" si="4"/>
        <v>44290078.581622928</v>
      </c>
      <c r="S35" s="1031">
        <f t="shared" si="4"/>
        <v>45255233.90554136</v>
      </c>
      <c r="T35" s="1031">
        <f t="shared" si="4"/>
        <v>46233481.949005596</v>
      </c>
      <c r="U35" s="1031">
        <f t="shared" si="4"/>
        <v>47224993.899434708</v>
      </c>
      <c r="V35" s="1031">
        <f t="shared" si="4"/>
        <v>48229943.098763347</v>
      </c>
      <c r="W35" s="1031">
        <f t="shared" si="4"/>
        <v>49248505.069607645</v>
      </c>
      <c r="X35" s="1031">
        <f t="shared" si="4"/>
        <v>50280857.541738845</v>
      </c>
      <c r="Y35" s="1032">
        <f t="shared" si="4"/>
        <v>51327180.478869796</v>
      </c>
      <c r="Z35" s="1029"/>
    </row>
    <row r="36" spans="2:26" ht="18" customHeight="1" x14ac:dyDescent="0.25">
      <c r="B36" s="969" t="s">
        <v>476</v>
      </c>
      <c r="C36" s="965" t="s">
        <v>475</v>
      </c>
      <c r="D36" s="958"/>
      <c r="E36" s="1030">
        <f>E17+E24+E31</f>
        <v>10153854.776300207</v>
      </c>
      <c r="F36" s="1031">
        <f t="shared" ref="F36:Y36" si="5">F17+F24+F31</f>
        <v>10404019.165623922</v>
      </c>
      <c r="G36" s="1031">
        <f t="shared" si="5"/>
        <v>10657598.61674007</v>
      </c>
      <c r="H36" s="1031">
        <f t="shared" si="5"/>
        <v>10914638.066099798</v>
      </c>
      <c r="I36" s="1031">
        <f t="shared" si="5"/>
        <v>11175183.019002287</v>
      </c>
      <c r="J36" s="1031">
        <f t="shared" si="5"/>
        <v>11439279.556533657</v>
      </c>
      <c r="K36" s="1031">
        <f t="shared" si="5"/>
        <v>11706974.342587864</v>
      </c>
      <c r="L36" s="1031">
        <f t="shared" si="5"/>
        <v>11978314.630971245</v>
      </c>
      <c r="M36" s="1031">
        <f t="shared" si="5"/>
        <v>12253348.272590557</v>
      </c>
      <c r="N36" s="1031">
        <f t="shared" si="5"/>
        <v>12532123.722726595</v>
      </c>
      <c r="O36" s="1031">
        <f t="shared" si="5"/>
        <v>12814690.048393652</v>
      </c>
      <c r="P36" s="1031">
        <f t="shared" si="5"/>
        <v>13101096.935785994</v>
      </c>
      <c r="Q36" s="1031">
        <f t="shared" si="5"/>
        <v>13391394.697812766</v>
      </c>
      <c r="R36" s="1031">
        <f t="shared" si="5"/>
        <v>13685634.281721488</v>
      </c>
      <c r="S36" s="1031">
        <f t="shared" si="5"/>
        <v>13983867.276812285</v>
      </c>
      <c r="T36" s="1031">
        <f t="shared" si="5"/>
        <v>14286145.922242731</v>
      </c>
      <c r="U36" s="1031">
        <f t="shared" si="5"/>
        <v>14592523.114925327</v>
      </c>
      <c r="V36" s="1031">
        <f t="shared" si="5"/>
        <v>14903052.417517876</v>
      </c>
      <c r="W36" s="1031">
        <f t="shared" si="5"/>
        <v>15217788.066508764</v>
      </c>
      <c r="X36" s="1031">
        <f t="shared" si="5"/>
        <v>15536784.980397306</v>
      </c>
      <c r="Y36" s="1032">
        <f t="shared" si="5"/>
        <v>15860098.767970771</v>
      </c>
      <c r="Z36" s="1029"/>
    </row>
    <row r="37" spans="2:26" ht="18" customHeight="1" x14ac:dyDescent="0.25">
      <c r="B37" s="969"/>
      <c r="C37" s="965"/>
      <c r="D37" s="958"/>
      <c r="E37" s="966"/>
      <c r="F37" s="967"/>
      <c r="G37" s="967"/>
      <c r="H37" s="967"/>
      <c r="I37" s="967"/>
      <c r="J37" s="967"/>
      <c r="K37" s="967"/>
      <c r="L37" s="967"/>
      <c r="M37" s="967"/>
      <c r="N37" s="967"/>
      <c r="O37" s="967"/>
      <c r="P37" s="967"/>
      <c r="Q37" s="967"/>
      <c r="R37" s="967"/>
      <c r="S37" s="967"/>
      <c r="T37" s="967"/>
      <c r="U37" s="967"/>
      <c r="V37" s="967"/>
      <c r="W37" s="967"/>
      <c r="X37" s="967"/>
      <c r="Y37" s="968"/>
      <c r="Z37" s="1029"/>
    </row>
    <row r="38" spans="2:26" ht="18" customHeight="1" x14ac:dyDescent="0.25">
      <c r="B38" s="1027" t="s">
        <v>140</v>
      </c>
      <c r="C38" s="965"/>
      <c r="D38" s="958"/>
      <c r="E38" s="966"/>
      <c r="F38" s="967"/>
      <c r="G38" s="967"/>
      <c r="H38" s="967"/>
      <c r="I38" s="967"/>
      <c r="J38" s="967"/>
      <c r="K38" s="967"/>
      <c r="L38" s="967"/>
      <c r="M38" s="967"/>
      <c r="N38" s="967"/>
      <c r="O38" s="967"/>
      <c r="P38" s="967"/>
      <c r="Q38" s="967"/>
      <c r="R38" s="967"/>
      <c r="S38" s="967"/>
      <c r="T38" s="967"/>
      <c r="U38" s="967"/>
      <c r="V38" s="967"/>
      <c r="W38" s="967"/>
      <c r="X38" s="967"/>
      <c r="Y38" s="968"/>
      <c r="Z38" s="1029"/>
    </row>
    <row r="39" spans="2:26" ht="18" customHeight="1" x14ac:dyDescent="0.25">
      <c r="B39" s="969" t="s">
        <v>1016</v>
      </c>
      <c r="C39" s="965"/>
      <c r="D39" s="958"/>
      <c r="E39" s="1474">
        <f>'Build.vs.No-Build'!F72</f>
        <v>4.1734583513035481</v>
      </c>
      <c r="F39" s="1062">
        <f>'Build.vs.No-Build'!G72</f>
        <v>4.1763463847652593</v>
      </c>
      <c r="G39" s="1062">
        <f>'Build.vs.No-Build'!H72</f>
        <v>4.1792364167463214</v>
      </c>
      <c r="H39" s="1062">
        <f>'Build.vs.No-Build'!I72</f>
        <v>4.1821284486297099</v>
      </c>
      <c r="I39" s="1062">
        <f>'Build.vs.No-Build'!J72</f>
        <v>4.1850224817993595</v>
      </c>
      <c r="J39" s="1062">
        <f>'Build.vs.No-Build'!K72</f>
        <v>4.1879185176401554</v>
      </c>
      <c r="K39" s="1062">
        <f>'Build.vs.No-Build'!L72</f>
        <v>4.1908165575379508</v>
      </c>
      <c r="L39" s="1062">
        <f>'Build.vs.No-Build'!M72</f>
        <v>4.1937166028795518</v>
      </c>
      <c r="M39" s="1062">
        <f>'Build.vs.No-Build'!N72</f>
        <v>4.1966186550527249</v>
      </c>
      <c r="N39" s="1062">
        <f>'Build.vs.No-Build'!O72</f>
        <v>4.1995227154462009</v>
      </c>
      <c r="O39" s="1062">
        <f>'Build.vs.No-Build'!P72</f>
        <v>4.2024287854496638</v>
      </c>
      <c r="P39" s="1062">
        <f>'Build.vs.No-Build'!Q72</f>
        <v>4.2053368664537656</v>
      </c>
      <c r="Q39" s="1062">
        <f>'Build.vs.No-Build'!R72</f>
        <v>4.2082469598501184</v>
      </c>
      <c r="R39" s="1062">
        <f>'Build.vs.No-Build'!S72</f>
        <v>4.2111590670312999</v>
      </c>
      <c r="S39" s="1062">
        <f>'Build.vs.No-Build'!T72</f>
        <v>4.2140731893908479</v>
      </c>
      <c r="T39" s="1062">
        <f>'Build.vs.No-Build'!U72</f>
        <v>4.2169893283232662</v>
      </c>
      <c r="U39" s="1062">
        <f>'Build.vs.No-Build'!V72</f>
        <v>4.2199074852240219</v>
      </c>
      <c r="V39" s="1062">
        <f>'Build.vs.No-Build'!W72</f>
        <v>4.2228276614895499</v>
      </c>
      <c r="W39" s="1062">
        <f>'Build.vs.No-Build'!X72</f>
        <v>4.2257498585172542</v>
      </c>
      <c r="X39" s="1062">
        <f>'Build.vs.No-Build'!Y72</f>
        <v>4.2286740777054987</v>
      </c>
      <c r="Y39" s="1063">
        <f>'Build.vs.No-Build'!Z72</f>
        <v>4.2316003204536186</v>
      </c>
      <c r="Z39" s="1029"/>
    </row>
    <row r="40" spans="2:26" ht="18" customHeight="1" x14ac:dyDescent="0.25">
      <c r="B40" s="969" t="s">
        <v>1017</v>
      </c>
      <c r="C40" s="965"/>
      <c r="D40" s="958"/>
      <c r="E40" s="1474">
        <f>'Build.vs.No-Build'!F80</f>
        <v>4.2928576494786865</v>
      </c>
      <c r="F40" s="1062">
        <f>'Build.vs.No-Build'!G80</f>
        <v>4.3020311626049192</v>
      </c>
      <c r="G40" s="1062">
        <f>'Build.vs.No-Build'!H80</f>
        <v>4.3112242788370425</v>
      </c>
      <c r="H40" s="1062">
        <f>'Build.vs.No-Build'!I80</f>
        <v>4.320437040065416</v>
      </c>
      <c r="I40" s="1062">
        <f>'Build.vs.No-Build'!J80</f>
        <v>4.3296694882699152</v>
      </c>
      <c r="J40" s="1062">
        <f>'Build.vs.No-Build'!K80</f>
        <v>4.3389216655201244</v>
      </c>
      <c r="K40" s="1062">
        <f>'Build.vs.No-Build'!L80</f>
        <v>4.3481936139755266</v>
      </c>
      <c r="L40" s="1062">
        <f>'Build.vs.No-Build'!M80</f>
        <v>4.3574853758856946</v>
      </c>
      <c r="M40" s="1062">
        <f>'Build.vs.No-Build'!N80</f>
        <v>4.3667969935904916</v>
      </c>
      <c r="N40" s="1062">
        <f>'Build.vs.No-Build'!O80</f>
        <v>4.3761285095202496</v>
      </c>
      <c r="O40" s="1062">
        <f>'Build.vs.No-Build'!P80</f>
        <v>4.3854799661959776</v>
      </c>
      <c r="P40" s="1062">
        <f>'Build.vs.No-Build'!Q80</f>
        <v>4.3948514062295443</v>
      </c>
      <c r="Q40" s="1062">
        <f>'Build.vs.No-Build'!R80</f>
        <v>4.4042428723238807</v>
      </c>
      <c r="R40" s="1062">
        <f>'Build.vs.No-Build'!S80</f>
        <v>4.4136544072731665</v>
      </c>
      <c r="S40" s="1062">
        <f>'Build.vs.No-Build'!T80</f>
        <v>4.4230860539630337</v>
      </c>
      <c r="T40" s="1062">
        <f>'Build.vs.No-Build'!U80</f>
        <v>4.4325378553707537</v>
      </c>
      <c r="U40" s="1062">
        <f>'Build.vs.No-Build'!V80</f>
        <v>4.4420098545654412</v>
      </c>
      <c r="V40" s="1062">
        <f>'Build.vs.No-Build'!W80</f>
        <v>4.45150209470824</v>
      </c>
      <c r="W40" s="1062">
        <f>'Build.vs.No-Build'!X80</f>
        <v>4.4610146190525359</v>
      </c>
      <c r="X40" s="1062">
        <f>'Build.vs.No-Build'!Y80</f>
        <v>4.4705474709441333</v>
      </c>
      <c r="Y40" s="1063">
        <f>'Build.vs.No-Build'!Z80</f>
        <v>4.4801006938214716</v>
      </c>
      <c r="Z40" s="1029"/>
    </row>
    <row r="41" spans="2:26" ht="18" customHeight="1" x14ac:dyDescent="0.25">
      <c r="B41" s="969" t="s">
        <v>867</v>
      </c>
      <c r="C41" s="965"/>
      <c r="D41" s="958"/>
      <c r="E41" s="966">
        <f>E39*'Build.vs.No-Build'!F7</f>
        <v>198291035.45104975</v>
      </c>
      <c r="F41" s="967">
        <f>F39*'Build.vs.No-Build'!G7</f>
        <v>199728460.463076</v>
      </c>
      <c r="G41" s="967">
        <f>G39*'Build.vs.No-Build'!H7</f>
        <v>201176305.46539822</v>
      </c>
      <c r="H41" s="967">
        <f>H39*'Build.vs.No-Build'!I7</f>
        <v>202634645.99322492</v>
      </c>
      <c r="I41" s="967">
        <f>I39*'Build.vs.No-Build'!J7</f>
        <v>204103558.12932432</v>
      </c>
      <c r="J41" s="967">
        <f>J39*'Build.vs.No-Build'!K7</f>
        <v>205583118.50799328</v>
      </c>
      <c r="K41" s="967">
        <f>K39*'Build.vs.No-Build'!L7</f>
        <v>207073404.31905654</v>
      </c>
      <c r="L41" s="967">
        <f>L39*'Build.vs.No-Build'!M7</f>
        <v>208574493.3118926</v>
      </c>
      <c r="M41" s="967">
        <f>M39*'Build.vs.No-Build'!N7</f>
        <v>210086463.79949042</v>
      </c>
      <c r="N41" s="967">
        <f>N39*'Build.vs.No-Build'!O7</f>
        <v>211609394.66253543</v>
      </c>
      <c r="O41" s="967">
        <f>O39*'Build.vs.No-Build'!P7</f>
        <v>213143365.35352385</v>
      </c>
      <c r="P41" s="967">
        <f>P39*'Build.vs.No-Build'!Q7</f>
        <v>214688455.9009088</v>
      </c>
      <c r="Q41" s="967">
        <f>Q39*'Build.vs.No-Build'!R7</f>
        <v>216244746.91327488</v>
      </c>
      <c r="R41" s="967">
        <f>R39*'Build.vs.No-Build'!S7</f>
        <v>217812319.58354402</v>
      </c>
      <c r="S41" s="967">
        <f>S39*'Build.vs.No-Build'!T7</f>
        <v>219391255.69321057</v>
      </c>
      <c r="T41" s="967">
        <f>T39*'Build.vs.No-Build'!U7</f>
        <v>220981637.61660877</v>
      </c>
      <c r="U41" s="967">
        <f>U39*'Build.vs.No-Build'!V7</f>
        <v>222583548.32520977</v>
      </c>
      <c r="V41" s="967">
        <f>V39*'Build.vs.No-Build'!W7</f>
        <v>224197071.39195055</v>
      </c>
      <c r="W41" s="967">
        <f>W39*'Build.vs.No-Build'!X7</f>
        <v>225822290.99559414</v>
      </c>
      <c r="X41" s="967">
        <f>X39*'Build.vs.No-Build'!Y7</f>
        <v>227459291.92512062</v>
      </c>
      <c r="Y41" s="968">
        <f>Y39*'Build.vs.No-Build'!Z7</f>
        <v>229108159.58415127</v>
      </c>
      <c r="Z41" s="1029"/>
    </row>
    <row r="42" spans="2:26" ht="25.5" x14ac:dyDescent="0.25">
      <c r="B42" s="964" t="s">
        <v>640</v>
      </c>
      <c r="C42" s="965" t="s">
        <v>477</v>
      </c>
      <c r="D42" s="958"/>
      <c r="E42" s="1030">
        <f>(E40-E39)*'Build.vs.No-Build'!F64</f>
        <v>1204793.9359108154</v>
      </c>
      <c r="F42" s="1031">
        <f>(F40-F39)*'Build.vs.No-Build'!G64</f>
        <v>1293952.4826207343</v>
      </c>
      <c r="G42" s="1031">
        <f>(G40-G39)*'Build.vs.No-Build'!H64</f>
        <v>1386418.3189393</v>
      </c>
      <c r="H42" s="1031">
        <f>(H40-H39)*'Build.vs.No-Build'!I64</f>
        <v>1482293.1433017582</v>
      </c>
      <c r="I42" s="1031">
        <f>(I40-I39)*'Build.vs.No-Build'!J64</f>
        <v>1581681.5144070024</v>
      </c>
      <c r="J42" s="1031">
        <f>(J40-J39)*'Build.vs.No-Build'!K64</f>
        <v>1684690.9275659509</v>
      </c>
      <c r="K42" s="1031">
        <f>(K40-K39)*'Build.vs.No-Build'!L64</f>
        <v>1791431.8930188178</v>
      </c>
      <c r="L42" s="1031">
        <f>(L40-L39)*'Build.vs.No-Build'!M64</f>
        <v>1902018.0162715276</v>
      </c>
      <c r="M42" s="1031">
        <f>(M40-M39)*'Build.vs.No-Build'!N64</f>
        <v>2016566.0805015871</v>
      </c>
      <c r="N42" s="1031">
        <f>(N40-N39)*'Build.vs.No-Build'!O64</f>
        <v>2135196.131085366</v>
      </c>
      <c r="O42" s="1031">
        <f>(O40-O39)*'Build.vs.No-Build'!P64</f>
        <v>2258031.5623008921</v>
      </c>
      <c r="P42" s="1031">
        <f>(P40-P39)*'Build.vs.No-Build'!Q64</f>
        <v>2385199.206259686</v>
      </c>
      <c r="Q42" s="1031">
        <f>(Q40-Q39)*'Build.vs.No-Build'!R64</f>
        <v>2516829.4241247573</v>
      </c>
      <c r="R42" s="1031">
        <f>(R40-R39)*'Build.vs.No-Build'!S64</f>
        <v>2653056.1996712987</v>
      </c>
      <c r="S42" s="1031">
        <f>(S40-S39)*'Build.vs.No-Build'!T64</f>
        <v>2794017.2352495836</v>
      </c>
      <c r="T42" s="1031">
        <f>(T40-T39)*'Build.vs.No-Build'!U64</f>
        <v>2939854.0502096419</v>
      </c>
      <c r="U42" s="1031">
        <f>(U40-U39)*'Build.vs.No-Build'!V64</f>
        <v>3090712.0818501301</v>
      </c>
      <c r="V42" s="1031">
        <f>(V40-V39)*'Build.vs.No-Build'!W64</f>
        <v>3246740.7889540023</v>
      </c>
      <c r="W42" s="1031">
        <f>(W40-W39)*'Build.vs.No-Build'!X64</f>
        <v>3408093.7579765609</v>
      </c>
      <c r="X42" s="1031">
        <f>(X40-X39)*'Build.vs.No-Build'!Y64</f>
        <v>3574928.8119515483</v>
      </c>
      <c r="Y42" s="1032">
        <f>(Y40-Y39)*'Build.vs.No-Build'!Z64</f>
        <v>3747408.1221839823</v>
      </c>
      <c r="Z42" s="1029"/>
    </row>
    <row r="43" spans="2:26" ht="18" customHeight="1" x14ac:dyDescent="0.25">
      <c r="B43" s="969" t="s">
        <v>641</v>
      </c>
      <c r="C43" s="965" t="s">
        <v>478</v>
      </c>
      <c r="D43" s="958"/>
      <c r="E43" s="1030">
        <f>E42*$D$7</f>
        <v>542157.27115986694</v>
      </c>
      <c r="F43" s="1031">
        <f t="shared" ref="F43:Y43" si="6">F42*$D$7</f>
        <v>582278.61717933044</v>
      </c>
      <c r="G43" s="1031">
        <f t="shared" si="6"/>
        <v>623888.24352268502</v>
      </c>
      <c r="H43" s="1031">
        <f t="shared" si="6"/>
        <v>667031.91448579123</v>
      </c>
      <c r="I43" s="1031">
        <f t="shared" si="6"/>
        <v>711756.68148315104</v>
      </c>
      <c r="J43" s="1031">
        <f t="shared" si="6"/>
        <v>758110.91740467795</v>
      </c>
      <c r="K43" s="1031">
        <f t="shared" si="6"/>
        <v>806144.35185846803</v>
      </c>
      <c r="L43" s="1031">
        <f t="shared" si="6"/>
        <v>855908.1073221874</v>
      </c>
      <c r="M43" s="1031">
        <f t="shared" si="6"/>
        <v>907454.73622571421</v>
      </c>
      <c r="N43" s="1031">
        <f t="shared" si="6"/>
        <v>960838.25898841477</v>
      </c>
      <c r="O43" s="1031">
        <f t="shared" si="6"/>
        <v>1016114.2030354014</v>
      </c>
      <c r="P43" s="1031">
        <f t="shared" si="6"/>
        <v>1073339.6428168588</v>
      </c>
      <c r="Q43" s="1031">
        <f t="shared" si="6"/>
        <v>1132573.2408561409</v>
      </c>
      <c r="R43" s="1031">
        <f t="shared" si="6"/>
        <v>1193875.2898520844</v>
      </c>
      <c r="S43" s="1031">
        <f t="shared" si="6"/>
        <v>1257307.7558623126</v>
      </c>
      <c r="T43" s="1031">
        <f t="shared" si="6"/>
        <v>1322934.3225943388</v>
      </c>
      <c r="U43" s="1031">
        <f t="shared" si="6"/>
        <v>1390820.4368325586</v>
      </c>
      <c r="V43" s="1031">
        <f t="shared" si="6"/>
        <v>1461033.355029301</v>
      </c>
      <c r="W43" s="1031">
        <f t="shared" si="6"/>
        <v>1533642.1910894525</v>
      </c>
      <c r="X43" s="1031">
        <f t="shared" si="6"/>
        <v>1608717.9653781967</v>
      </c>
      <c r="Y43" s="1032">
        <f t="shared" si="6"/>
        <v>1686333.654982792</v>
      </c>
      <c r="Z43" s="1029"/>
    </row>
    <row r="44" spans="2:26" ht="18" customHeight="1" x14ac:dyDescent="0.25">
      <c r="B44" s="969"/>
      <c r="C44" s="965"/>
      <c r="D44" s="958"/>
      <c r="E44" s="1030"/>
      <c r="F44" s="1031"/>
      <c r="G44" s="1031"/>
      <c r="H44" s="1031"/>
      <c r="I44" s="1031"/>
      <c r="J44" s="1031"/>
      <c r="K44" s="1031"/>
      <c r="L44" s="1031"/>
      <c r="M44" s="1031"/>
      <c r="N44" s="1031"/>
      <c r="O44" s="1031"/>
      <c r="P44" s="1031"/>
      <c r="Q44" s="1031"/>
      <c r="R44" s="1031"/>
      <c r="S44" s="1031"/>
      <c r="T44" s="1031"/>
      <c r="U44" s="1031"/>
      <c r="V44" s="1031"/>
      <c r="W44" s="1031"/>
      <c r="X44" s="1031"/>
      <c r="Y44" s="1032"/>
      <c r="Z44" s="1029"/>
    </row>
    <row r="45" spans="2:26" ht="21" customHeight="1" x14ac:dyDescent="0.25">
      <c r="B45" s="1033" t="s">
        <v>466</v>
      </c>
      <c r="C45" s="965" t="s">
        <v>486</v>
      </c>
      <c r="D45" s="958"/>
      <c r="E45" s="1030">
        <f>E35+E42</f>
        <v>34065165.380248055</v>
      </c>
      <c r="F45" s="1031">
        <f t="shared" ref="F45:Y45" si="7">F35+F42</f>
        <v>34963917.419914968</v>
      </c>
      <c r="G45" s="1031">
        <f t="shared" si="7"/>
        <v>35877028.72910133</v>
      </c>
      <c r="H45" s="1031">
        <f t="shared" si="7"/>
        <v>36804746.431650609</v>
      </c>
      <c r="I45" s="1031">
        <f t="shared" si="7"/>
        <v>37747322.352602094</v>
      </c>
      <c r="J45" s="1031">
        <f t="shared" si="7"/>
        <v>38705013.116995245</v>
      </c>
      <c r="K45" s="1031">
        <f t="shared" si="7"/>
        <v>39678080.250908338</v>
      </c>
      <c r="L45" s="1031">
        <f t="shared" si="7"/>
        <v>40666790.284786873</v>
      </c>
      <c r="M45" s="1031">
        <f t="shared" si="7"/>
        <v>41671414.859111793</v>
      </c>
      <c r="N45" s="1031">
        <f t="shared" si="7"/>
        <v>42692230.832465917</v>
      </c>
      <c r="O45" s="1031">
        <f t="shared" si="7"/>
        <v>43729520.392053805</v>
      </c>
      <c r="P45" s="1031">
        <f t="shared" si="7"/>
        <v>44783571.166732147</v>
      </c>
      <c r="Q45" s="1031">
        <f t="shared" si="7"/>
        <v>45854676.342612661</v>
      </c>
      <c r="R45" s="1031">
        <f t="shared" si="7"/>
        <v>46943134.781294227</v>
      </c>
      <c r="S45" s="1031">
        <f t="shared" si="7"/>
        <v>48049251.140790947</v>
      </c>
      <c r="T45" s="1031">
        <f t="shared" si="7"/>
        <v>49173335.999215238</v>
      </c>
      <c r="U45" s="1031">
        <f t="shared" si="7"/>
        <v>50315705.981284842</v>
      </c>
      <c r="V45" s="1031">
        <f t="shared" si="7"/>
        <v>51476683.887717351</v>
      </c>
      <c r="W45" s="1031">
        <f t="shared" si="7"/>
        <v>52656598.827584207</v>
      </c>
      <c r="X45" s="1031">
        <f t="shared" si="7"/>
        <v>53855786.353690393</v>
      </c>
      <c r="Y45" s="1032">
        <f t="shared" si="7"/>
        <v>55074588.601053774</v>
      </c>
      <c r="Z45" s="1029"/>
    </row>
    <row r="46" spans="2:26" ht="25.5" customHeight="1" thickBot="1" x14ac:dyDescent="0.3">
      <c r="B46" s="1034" t="s">
        <v>490</v>
      </c>
      <c r="C46" s="975" t="s">
        <v>487</v>
      </c>
      <c r="D46" s="1341"/>
      <c r="E46" s="1035">
        <f>E36+E43</f>
        <v>10696012.047460074</v>
      </c>
      <c r="F46" s="1036">
        <f t="shared" ref="F46:Y46" si="8">F36+F43</f>
        <v>10986297.782803252</v>
      </c>
      <c r="G46" s="1036">
        <f t="shared" si="8"/>
        <v>11281486.860262755</v>
      </c>
      <c r="H46" s="1036">
        <f t="shared" si="8"/>
        <v>11581669.98058559</v>
      </c>
      <c r="I46" s="1036">
        <f t="shared" si="8"/>
        <v>11886939.700485438</v>
      </c>
      <c r="J46" s="1036">
        <f t="shared" si="8"/>
        <v>12197390.473938335</v>
      </c>
      <c r="K46" s="1036">
        <f t="shared" si="8"/>
        <v>12513118.694446333</v>
      </c>
      <c r="L46" s="1036">
        <f t="shared" si="8"/>
        <v>12834222.738293434</v>
      </c>
      <c r="M46" s="1036">
        <f t="shared" si="8"/>
        <v>13160803.008816272</v>
      </c>
      <c r="N46" s="1036">
        <f t="shared" si="8"/>
        <v>13492961.981715009</v>
      </c>
      <c r="O46" s="1036">
        <f t="shared" si="8"/>
        <v>13830804.251429053</v>
      </c>
      <c r="P46" s="1036">
        <f t="shared" si="8"/>
        <v>14174436.578602852</v>
      </c>
      <c r="Q46" s="1036">
        <f t="shared" si="8"/>
        <v>14523967.938668907</v>
      </c>
      <c r="R46" s="1036">
        <f t="shared" si="8"/>
        <v>14879509.571573572</v>
      </c>
      <c r="S46" s="1036">
        <f t="shared" si="8"/>
        <v>15241175.032674598</v>
      </c>
      <c r="T46" s="1036">
        <f t="shared" si="8"/>
        <v>15609080.24483707</v>
      </c>
      <c r="U46" s="1036">
        <f t="shared" si="8"/>
        <v>15983343.551757885</v>
      </c>
      <c r="V46" s="1036">
        <f t="shared" si="8"/>
        <v>16364085.772547178</v>
      </c>
      <c r="W46" s="1036">
        <f t="shared" si="8"/>
        <v>16751430.257598218</v>
      </c>
      <c r="X46" s="1036">
        <f t="shared" si="8"/>
        <v>17145502.945775501</v>
      </c>
      <c r="Y46" s="1037">
        <f t="shared" si="8"/>
        <v>17546432.422953561</v>
      </c>
      <c r="Z46" s="1029"/>
    </row>
    <row r="47" spans="2:26" ht="21" customHeight="1" x14ac:dyDescent="0.25">
      <c r="B47" s="995" t="s">
        <v>315</v>
      </c>
      <c r="C47" s="1038"/>
      <c r="D47" s="1038"/>
      <c r="E47" s="1038"/>
      <c r="F47" s="1038"/>
      <c r="G47" s="1038"/>
      <c r="H47" s="1038"/>
      <c r="I47" s="1038"/>
      <c r="J47" s="1038"/>
      <c r="K47" s="1038"/>
      <c r="L47" s="1038"/>
      <c r="M47" s="1038"/>
      <c r="N47" s="1038"/>
      <c r="O47" s="1038"/>
      <c r="P47" s="1038"/>
      <c r="Q47" s="1038"/>
      <c r="R47" s="1038"/>
      <c r="S47" s="1038"/>
      <c r="T47" s="1038"/>
      <c r="U47" s="1038"/>
      <c r="V47" s="1038"/>
    </row>
    <row r="48" spans="2:26" ht="12.75" x14ac:dyDescent="0.25">
      <c r="B48" s="958"/>
      <c r="C48" s="958"/>
      <c r="D48" s="958"/>
      <c r="E48" s="967"/>
      <c r="F48" s="958"/>
      <c r="G48" s="958"/>
      <c r="H48" s="958"/>
      <c r="I48" s="958"/>
      <c r="J48" s="958"/>
      <c r="K48" s="958"/>
      <c r="L48" s="958"/>
      <c r="M48" s="958"/>
      <c r="N48" s="958"/>
      <c r="O48" s="958"/>
      <c r="P48" s="958"/>
      <c r="Q48" s="958"/>
      <c r="R48" s="958"/>
      <c r="S48" s="958"/>
      <c r="T48" s="958"/>
      <c r="U48" s="958"/>
      <c r="V48" s="958"/>
    </row>
    <row r="49" spans="2:42" ht="18" x14ac:dyDescent="0.25">
      <c r="B49" s="958"/>
      <c r="C49" s="958"/>
      <c r="D49" s="958"/>
      <c r="E49" s="1835" t="s">
        <v>760</v>
      </c>
      <c r="F49" s="1835"/>
      <c r="G49" s="1835"/>
      <c r="H49" s="1835"/>
      <c r="I49" s="1835"/>
      <c r="J49" s="1835"/>
      <c r="K49" s="1835"/>
      <c r="L49" s="1835"/>
      <c r="M49" s="958"/>
      <c r="N49" s="958"/>
      <c r="O49" s="958"/>
      <c r="P49" s="958"/>
      <c r="Q49" s="958"/>
      <c r="R49" s="958"/>
      <c r="S49" s="958"/>
      <c r="T49" s="958"/>
      <c r="U49" s="958"/>
      <c r="V49" s="1416" t="s">
        <v>606</v>
      </c>
    </row>
    <row r="50" spans="2:42" ht="18.75" thickBot="1" x14ac:dyDescent="0.3">
      <c r="E50" s="1416" t="s">
        <v>858</v>
      </c>
      <c r="M50" s="1416" t="s">
        <v>857</v>
      </c>
      <c r="N50" s="984"/>
      <c r="O50" s="984"/>
      <c r="P50" s="984"/>
      <c r="Q50" s="958"/>
      <c r="R50" s="958"/>
      <c r="S50" s="958"/>
      <c r="T50" s="958"/>
      <c r="U50" s="958"/>
      <c r="V50" s="1416" t="s">
        <v>858</v>
      </c>
      <c r="W50" s="958"/>
      <c r="X50" s="958"/>
      <c r="Y50" s="958"/>
      <c r="Z50" s="1416" t="s">
        <v>857</v>
      </c>
      <c r="AD50" s="958"/>
      <c r="AE50" s="958"/>
      <c r="AF50" s="958"/>
      <c r="AG50" s="958"/>
      <c r="AH50" s="958"/>
      <c r="AI50" s="958"/>
      <c r="AJ50" s="958"/>
      <c r="AK50" s="958"/>
      <c r="AL50" s="958"/>
      <c r="AM50" s="958"/>
      <c r="AN50" s="958"/>
      <c r="AO50" s="958"/>
      <c r="AP50" s="958"/>
    </row>
    <row r="51" spans="2:42" ht="15.75" thickBot="1" x14ac:dyDescent="0.3">
      <c r="C51" s="1039"/>
      <c r="E51" s="1484" t="s">
        <v>182</v>
      </c>
      <c r="F51" s="1485" t="s">
        <v>180</v>
      </c>
      <c r="G51" s="1485" t="s">
        <v>178</v>
      </c>
      <c r="H51" s="1485" t="s">
        <v>268</v>
      </c>
      <c r="I51" s="1485" t="s">
        <v>269</v>
      </c>
      <c r="J51" s="1486" t="s">
        <v>270</v>
      </c>
      <c r="K51" s="1485" t="s">
        <v>271</v>
      </c>
      <c r="L51" s="1485" t="s">
        <v>272</v>
      </c>
      <c r="M51" s="1485" t="s">
        <v>271</v>
      </c>
      <c r="N51" s="1485" t="s">
        <v>272</v>
      </c>
      <c r="O51" s="1485" t="s">
        <v>271</v>
      </c>
      <c r="P51" s="1485" t="s">
        <v>272</v>
      </c>
      <c r="Q51" s="1485" t="s">
        <v>271</v>
      </c>
      <c r="R51" s="1485" t="s">
        <v>272</v>
      </c>
      <c r="U51" s="982"/>
      <c r="W51" s="982"/>
      <c r="X51" s="982"/>
      <c r="Y51" s="982"/>
      <c r="AD51" s="958"/>
      <c r="AE51" s="958"/>
      <c r="AF51" s="958"/>
      <c r="AG51" s="958"/>
      <c r="AH51" s="958"/>
      <c r="AI51" s="958"/>
      <c r="AJ51" s="958"/>
      <c r="AK51" s="958"/>
      <c r="AL51" s="958"/>
      <c r="AM51" s="958"/>
      <c r="AN51" s="958"/>
      <c r="AO51" s="958"/>
      <c r="AP51" s="958"/>
    </row>
    <row r="52" spans="2:42" ht="30" customHeight="1" x14ac:dyDescent="0.3">
      <c r="C52" s="1039"/>
      <c r="E52" s="1821" t="s">
        <v>7</v>
      </c>
      <c r="F52" s="1822" t="s">
        <v>275</v>
      </c>
      <c r="G52" s="1823" t="s">
        <v>340</v>
      </c>
      <c r="H52" s="1823"/>
      <c r="I52" s="1823"/>
      <c r="J52" s="1824" t="s">
        <v>339</v>
      </c>
      <c r="K52" s="1825"/>
      <c r="L52" s="1828"/>
      <c r="M52" s="1823" t="s">
        <v>340</v>
      </c>
      <c r="N52" s="1823"/>
      <c r="O52" s="1823"/>
      <c r="P52" s="1824" t="s">
        <v>339</v>
      </c>
      <c r="Q52" s="1825"/>
      <c r="R52" s="1826"/>
      <c r="V52" s="1830" t="s">
        <v>385</v>
      </c>
      <c r="W52" s="1831"/>
      <c r="X52" s="1831"/>
      <c r="Y52" s="1832" t="s">
        <v>140</v>
      </c>
      <c r="Z52" s="1830" t="s">
        <v>385</v>
      </c>
      <c r="AA52" s="1831"/>
      <c r="AB52" s="1831"/>
      <c r="AC52" s="1832" t="s">
        <v>140</v>
      </c>
      <c r="AD52" s="985"/>
      <c r="AE52" s="985"/>
      <c r="AF52" s="985"/>
      <c r="AG52" s="985"/>
      <c r="AH52" s="985"/>
      <c r="AI52" s="985"/>
      <c r="AJ52" s="985"/>
      <c r="AK52" s="985"/>
      <c r="AL52" s="958"/>
      <c r="AM52" s="958"/>
      <c r="AN52" s="958"/>
      <c r="AO52" s="958"/>
      <c r="AP52" s="958"/>
    </row>
    <row r="53" spans="2:42" ht="26.4" x14ac:dyDescent="0.3">
      <c r="C53" s="1039"/>
      <c r="E53" s="1821"/>
      <c r="F53" s="1822"/>
      <c r="G53" s="1402" t="s">
        <v>468</v>
      </c>
      <c r="H53" s="1402" t="s">
        <v>347</v>
      </c>
      <c r="I53" s="1402" t="s">
        <v>5</v>
      </c>
      <c r="J53" s="1402" t="s">
        <v>468</v>
      </c>
      <c r="K53" s="1402" t="s">
        <v>347</v>
      </c>
      <c r="L53" s="1402" t="s">
        <v>5</v>
      </c>
      <c r="M53" s="1402" t="s">
        <v>468</v>
      </c>
      <c r="N53" s="1402" t="s">
        <v>347</v>
      </c>
      <c r="O53" s="1402" t="s">
        <v>5</v>
      </c>
      <c r="P53" s="1402" t="s">
        <v>468</v>
      </c>
      <c r="Q53" s="1402" t="s">
        <v>347</v>
      </c>
      <c r="R53" s="1488" t="s">
        <v>5</v>
      </c>
      <c r="V53" s="1476" t="s">
        <v>897</v>
      </c>
      <c r="W53" s="1425" t="s">
        <v>898</v>
      </c>
      <c r="X53" s="1425" t="s">
        <v>899</v>
      </c>
      <c r="Y53" s="1833"/>
      <c r="Z53" s="1476" t="s">
        <v>897</v>
      </c>
      <c r="AA53" s="1425" t="s">
        <v>898</v>
      </c>
      <c r="AB53" s="1425" t="s">
        <v>899</v>
      </c>
      <c r="AC53" s="1833"/>
      <c r="AD53" s="958"/>
      <c r="AE53" s="958"/>
      <c r="AF53" s="958"/>
      <c r="AG53" s="958"/>
      <c r="AH53" s="958"/>
      <c r="AI53" s="958"/>
      <c r="AJ53" s="958"/>
      <c r="AK53" s="958"/>
      <c r="AL53" s="958"/>
      <c r="AM53" s="958"/>
      <c r="AN53" s="958"/>
      <c r="AO53" s="958"/>
      <c r="AP53" s="958"/>
    </row>
    <row r="54" spans="2:42" ht="14.25" x14ac:dyDescent="0.2">
      <c r="E54" s="1489">
        <v>4</v>
      </c>
      <c r="F54" s="988">
        <v>2023</v>
      </c>
      <c r="G54" s="989">
        <f t="array" ref="G54:G74">TRANSPOSE(E16:Y16)</f>
        <v>17553708.024488043</v>
      </c>
      <c r="H54" s="989">
        <f t="array" ref="H54:H74">TRANSPOSE(E42:Y42)</f>
        <v>1204793.9359108154</v>
      </c>
      <c r="I54" s="1043">
        <f>SUM(G54:H54)</f>
        <v>18758501.96039886</v>
      </c>
      <c r="J54" s="989">
        <f t="array" ref="J54:J74">TRANSPOSE(E36:Y36)</f>
        <v>10153854.776300207</v>
      </c>
      <c r="K54" s="989">
        <f t="array" ref="K54:K74">TRANSPOSE(E43:Y43)</f>
        <v>542157.27115986694</v>
      </c>
      <c r="L54" s="991">
        <f>SUM(J54:K54)</f>
        <v>10696012.047460074</v>
      </c>
      <c r="M54" s="989">
        <f t="array" ref="M54:M74">TRANSPOSE(E34:Y34)</f>
        <v>2304062206.5877628</v>
      </c>
      <c r="N54" s="989">
        <f t="array" ref="N54:N74">TRANSPOSE(E41:Y41)</f>
        <v>198291035.45104975</v>
      </c>
      <c r="O54" s="1043">
        <f t="shared" ref="O54:O56" si="9">M54+N54</f>
        <v>2502353242.0388126</v>
      </c>
      <c r="P54" s="991">
        <f>M54*$D$6</f>
        <v>711955221.83561885</v>
      </c>
      <c r="Q54" s="991">
        <f>N54*$D$7</f>
        <v>89230965.952972382</v>
      </c>
      <c r="R54" s="1494">
        <f t="shared" ref="R54:R56" si="10">P54+Q54</f>
        <v>801186187.78859127</v>
      </c>
      <c r="V54" s="1477">
        <f t="array" ref="V54:V74">TRANSPOSE(E17:Y17)</f>
        <v>5424095.7795668058</v>
      </c>
      <c r="W54" s="1056">
        <f t="array" ref="W54:W74">TRANSPOSE(E24:Y24)</f>
        <v>2944435.9103062972</v>
      </c>
      <c r="X54" s="1056">
        <f t="array" ref="X54:X74">TRANSPOSE(E31:Y31)</f>
        <v>1785323.0864271047</v>
      </c>
      <c r="Y54" s="1478">
        <f t="array" ref="Y54:Y74">TRANSPOSE(E43:Y43)</f>
        <v>542157.27115986694</v>
      </c>
      <c r="Z54" s="1477">
        <f t="array" ref="Z54:Z74">TRANSPOSE(E15:Y15)*$D$6</f>
        <v>380544363.8332091</v>
      </c>
      <c r="AA54" s="1056">
        <f t="array" ref="AA54:AA74">TRANSPOSE(E22:Y22)*$D$6</f>
        <v>206165961.14230758</v>
      </c>
      <c r="AB54" s="1056">
        <f t="array" ref="AB54:AB74">TRANSPOSE(E29:Y29)*$D$6</f>
        <v>125244896.86010222</v>
      </c>
      <c r="AC54" s="1478">
        <f t="array" ref="AC54:AC74">TRANSPOSE(E41:Y41)*$D$7</f>
        <v>89230965.952972382</v>
      </c>
      <c r="AD54" s="949"/>
      <c r="AE54" s="949"/>
      <c r="AF54" s="949"/>
      <c r="AG54" s="958"/>
      <c r="AH54" s="949"/>
      <c r="AI54" s="949"/>
      <c r="AJ54" s="949"/>
      <c r="AK54" s="958"/>
      <c r="AL54" s="958"/>
      <c r="AM54" s="958"/>
      <c r="AN54" s="958"/>
      <c r="AO54" s="958"/>
      <c r="AP54" s="958"/>
    </row>
    <row r="55" spans="2:42" ht="14.25" x14ac:dyDescent="0.25">
      <c r="E55" s="1489">
        <v>5</v>
      </c>
      <c r="F55" s="988">
        <f>F54+1</f>
        <v>2024</v>
      </c>
      <c r="G55" s="989">
        <v>18026459.626550969</v>
      </c>
      <c r="H55" s="989">
        <v>1293952.4826207343</v>
      </c>
      <c r="I55" s="1043">
        <f t="shared" ref="I55:I74" si="11">SUM(G55:H55)</f>
        <v>19320412.109171703</v>
      </c>
      <c r="J55" s="989">
        <v>10404019.165623922</v>
      </c>
      <c r="K55" s="989">
        <v>582278.61717933044</v>
      </c>
      <c r="L55" s="991">
        <f t="shared" ref="L55:L74" si="12">SUM(J55:K55)</f>
        <v>10986297.782803252</v>
      </c>
      <c r="M55" s="989">
        <v>2317465107.5828433</v>
      </c>
      <c r="N55" s="989">
        <v>199728460.463076</v>
      </c>
      <c r="O55" s="1043">
        <f t="shared" si="9"/>
        <v>2517193568.0459194</v>
      </c>
      <c r="P55" s="991">
        <f t="shared" ref="P55:P74" si="13">M55*$D$6</f>
        <v>716096718.24309874</v>
      </c>
      <c r="Q55" s="991">
        <f t="shared" ref="Q55:Q74" si="14">N55*$D$7</f>
        <v>89877807.208384201</v>
      </c>
      <c r="R55" s="1494">
        <f t="shared" si="10"/>
        <v>805974525.45148289</v>
      </c>
      <c r="V55" s="1477">
        <v>5570176.0246042507</v>
      </c>
      <c r="W55" s="1056">
        <v>3000616.4252916905</v>
      </c>
      <c r="X55" s="1056">
        <v>1833226.7157279805</v>
      </c>
      <c r="Y55" s="1478">
        <v>582278.61717933044</v>
      </c>
      <c r="Z55" s="1477">
        <v>383604028.92626917</v>
      </c>
      <c r="AA55" s="1056">
        <v>206253347.58902705</v>
      </c>
      <c r="AB55" s="1056">
        <v>126239341.72780259</v>
      </c>
      <c r="AC55" s="1478">
        <v>89877807.208384201</v>
      </c>
      <c r="AD55" s="982"/>
      <c r="AE55" s="982"/>
      <c r="AF55" s="982"/>
      <c r="AG55" s="982"/>
      <c r="AH55" s="982"/>
      <c r="AI55" s="982"/>
      <c r="AJ55" s="982"/>
      <c r="AK55" s="982"/>
      <c r="AL55" s="958"/>
      <c r="AM55" s="958"/>
      <c r="AN55" s="958"/>
      <c r="AO55" s="958"/>
      <c r="AP55" s="958"/>
    </row>
    <row r="56" spans="2:42" ht="14.25" x14ac:dyDescent="0.25">
      <c r="E56" s="1489">
        <v>6</v>
      </c>
      <c r="F56" s="988">
        <f t="shared" ref="F56:F74" si="15">F55+1</f>
        <v>2025</v>
      </c>
      <c r="G56" s="989">
        <v>18506948.343322009</v>
      </c>
      <c r="H56" s="989">
        <v>1386418.3189393</v>
      </c>
      <c r="I56" s="1043">
        <f t="shared" si="11"/>
        <v>19893366.662261307</v>
      </c>
      <c r="J56" s="989">
        <v>10657598.61674007</v>
      </c>
      <c r="K56" s="989">
        <v>623888.24352268502</v>
      </c>
      <c r="L56" s="991">
        <f t="shared" si="12"/>
        <v>11281486.860262755</v>
      </c>
      <c r="M56" s="989">
        <v>2330973294.5116005</v>
      </c>
      <c r="N56" s="989">
        <v>201176305.46539822</v>
      </c>
      <c r="O56" s="1043">
        <f t="shared" si="9"/>
        <v>2532149599.9769988</v>
      </c>
      <c r="P56" s="991">
        <f t="shared" si="13"/>
        <v>720270748.00408471</v>
      </c>
      <c r="Q56" s="991">
        <f t="shared" si="14"/>
        <v>90529337.459429204</v>
      </c>
      <c r="R56" s="1494">
        <f t="shared" si="10"/>
        <v>810800085.46351385</v>
      </c>
      <c r="V56" s="1477">
        <v>5718647.0380865019</v>
      </c>
      <c r="W56" s="1056">
        <v>3057043.801940809</v>
      </c>
      <c r="X56" s="1056">
        <v>1881907.7767127596</v>
      </c>
      <c r="Y56" s="1478">
        <v>623888.24352268502</v>
      </c>
      <c r="Z56" s="1477">
        <v>386688294.43749696</v>
      </c>
      <c r="AA56" s="1056">
        <v>206340771.07576543</v>
      </c>
      <c r="AB56" s="1056">
        <v>127241682.49082235</v>
      </c>
      <c r="AC56" s="1478">
        <v>90529337.459429204</v>
      </c>
      <c r="AD56" s="982"/>
      <c r="AE56" s="982"/>
      <c r="AF56" s="982"/>
      <c r="AG56" s="982"/>
      <c r="AH56" s="982"/>
      <c r="AI56" s="982"/>
      <c r="AJ56" s="982"/>
      <c r="AK56" s="982"/>
      <c r="AL56" s="958"/>
      <c r="AM56" s="958"/>
      <c r="AN56" s="958"/>
      <c r="AO56" s="958"/>
      <c r="AP56" s="958"/>
    </row>
    <row r="57" spans="2:42" ht="14.25" x14ac:dyDescent="0.25">
      <c r="E57" s="1489">
        <v>7</v>
      </c>
      <c r="F57" s="988">
        <f t="shared" si="15"/>
        <v>2026</v>
      </c>
      <c r="G57" s="989">
        <v>18995282.067273229</v>
      </c>
      <c r="H57" s="989">
        <v>1482293.1433017582</v>
      </c>
      <c r="I57" s="1043">
        <f t="shared" si="11"/>
        <v>20477575.210574988</v>
      </c>
      <c r="J57" s="989">
        <v>10914638.066099798</v>
      </c>
      <c r="K57" s="989">
        <v>667031.91448579123</v>
      </c>
      <c r="L57" s="991">
        <f t="shared" si="12"/>
        <v>11581669.98058559</v>
      </c>
      <c r="M57" s="989">
        <v>2344587610.4232593</v>
      </c>
      <c r="N57" s="989">
        <v>202634645.99322492</v>
      </c>
      <c r="O57" s="1043">
        <f>M57+N57</f>
        <v>2547222256.4164844</v>
      </c>
      <c r="P57" s="991">
        <f t="shared" si="13"/>
        <v>724477571.62078726</v>
      </c>
      <c r="Q57" s="991">
        <f t="shared" si="14"/>
        <v>91185590.69695121</v>
      </c>
      <c r="R57" s="1494">
        <f>P57+Q57</f>
        <v>815663162.31773853</v>
      </c>
      <c r="V57" s="1477">
        <v>5869542.1587874293</v>
      </c>
      <c r="W57" s="1056">
        <v>3113718.8958300422</v>
      </c>
      <c r="X57" s="1056">
        <v>1931377.0114823268</v>
      </c>
      <c r="Y57" s="1478">
        <v>667031.91448579123</v>
      </c>
      <c r="Z57" s="1477">
        <v>389797358.15997005</v>
      </c>
      <c r="AA57" s="1056">
        <v>206428231.61822245</v>
      </c>
      <c r="AB57" s="1056">
        <v>128251981.84259473</v>
      </c>
      <c r="AC57" s="1478">
        <v>91185590.69695121</v>
      </c>
      <c r="AD57" s="982"/>
      <c r="AE57" s="982"/>
      <c r="AF57" s="982"/>
      <c r="AG57" s="982"/>
      <c r="AH57" s="982"/>
      <c r="AI57" s="982"/>
      <c r="AJ57" s="982"/>
      <c r="AK57" s="982"/>
      <c r="AL57" s="958"/>
      <c r="AM57" s="958"/>
      <c r="AN57" s="958"/>
      <c r="AO57" s="958"/>
      <c r="AP57" s="958"/>
    </row>
    <row r="58" spans="2:42" ht="14.25" x14ac:dyDescent="0.25">
      <c r="E58" s="1489">
        <v>8</v>
      </c>
      <c r="F58" s="988">
        <f t="shared" si="15"/>
        <v>2027</v>
      </c>
      <c r="G58" s="989">
        <v>19491570.079787973</v>
      </c>
      <c r="H58" s="989">
        <v>1581681.5144070024</v>
      </c>
      <c r="I58" s="1043">
        <f t="shared" si="11"/>
        <v>21073251.594194975</v>
      </c>
      <c r="J58" s="989">
        <v>11175183.019002287</v>
      </c>
      <c r="K58" s="989">
        <v>711756.68148315104</v>
      </c>
      <c r="L58" s="991">
        <f t="shared" si="12"/>
        <v>11886939.700485438</v>
      </c>
      <c r="M58" s="989">
        <v>2358308905.1246314</v>
      </c>
      <c r="N58" s="989">
        <v>204103558.12932432</v>
      </c>
      <c r="O58" s="1043">
        <f t="shared" ref="O58:O74" si="16">M58+N58</f>
        <v>2562412463.2539558</v>
      </c>
      <c r="P58" s="991">
        <f t="shared" si="13"/>
        <v>728717451.68351126</v>
      </c>
      <c r="Q58" s="991">
        <f t="shared" si="14"/>
        <v>91846601.158195943</v>
      </c>
      <c r="R58" s="1494">
        <f t="shared" ref="R58:R74" si="17">P58+Q58</f>
        <v>820564052.84170723</v>
      </c>
      <c r="V58" s="1477">
        <v>6022895.1546544852</v>
      </c>
      <c r="W58" s="1056">
        <v>3170642.5652246969</v>
      </c>
      <c r="X58" s="1056">
        <v>1981645.2991231044</v>
      </c>
      <c r="Y58" s="1478">
        <v>711756.68148315104</v>
      </c>
      <c r="Z58" s="1477">
        <v>392931419.47706747</v>
      </c>
      <c r="AA58" s="1056">
        <v>206515729.23210481</v>
      </c>
      <c r="AB58" s="1056">
        <v>129270302.97433901</v>
      </c>
      <c r="AC58" s="1478">
        <v>91846601.158195943</v>
      </c>
      <c r="AD58" s="982"/>
      <c r="AE58" s="982"/>
      <c r="AF58" s="982"/>
      <c r="AG58" s="982"/>
      <c r="AH58" s="982"/>
      <c r="AI58" s="982"/>
      <c r="AJ58" s="982"/>
      <c r="AK58" s="982"/>
      <c r="AL58" s="958"/>
      <c r="AM58" s="958"/>
      <c r="AN58" s="958"/>
      <c r="AO58" s="958"/>
      <c r="AP58" s="958"/>
    </row>
    <row r="59" spans="2:42" ht="14.25" x14ac:dyDescent="0.25">
      <c r="E59" s="1489">
        <v>9</v>
      </c>
      <c r="F59" s="988">
        <f t="shared" si="15"/>
        <v>2028</v>
      </c>
      <c r="G59" s="989">
        <v>19995923.068202756</v>
      </c>
      <c r="H59" s="989">
        <v>1684690.9275659509</v>
      </c>
      <c r="I59" s="1043">
        <f t="shared" si="11"/>
        <v>21680613.995768707</v>
      </c>
      <c r="J59" s="989">
        <v>11439279.556533657</v>
      </c>
      <c r="K59" s="989">
        <v>758110.91740467795</v>
      </c>
      <c r="L59" s="991">
        <f t="shared" si="12"/>
        <v>12197390.473938335</v>
      </c>
      <c r="M59" s="989">
        <v>2372138035.2342911</v>
      </c>
      <c r="N59" s="989">
        <v>205583118.50799328</v>
      </c>
      <c r="O59" s="1043">
        <f t="shared" si="16"/>
        <v>2577721153.7422843</v>
      </c>
      <c r="P59" s="991">
        <f t="shared" si="13"/>
        <v>732990652.8873961</v>
      </c>
      <c r="Q59" s="991">
        <f t="shared" si="14"/>
        <v>92512403.328596979</v>
      </c>
      <c r="R59" s="1494">
        <f t="shared" si="17"/>
        <v>825503056.21599305</v>
      </c>
      <c r="V59" s="1477">
        <v>6178740.2280746531</v>
      </c>
      <c r="W59" s="1056">
        <v>3227815.6710869772</v>
      </c>
      <c r="X59" s="1056">
        <v>2032723.6573720267</v>
      </c>
      <c r="Y59" s="1478">
        <v>758110.91740467795</v>
      </c>
      <c r="Z59" s="1477">
        <v>396090679.37525755</v>
      </c>
      <c r="AA59" s="1056">
        <v>206603263.93312576</v>
      </c>
      <c r="AB59" s="1056">
        <v>130296709.57901286</v>
      </c>
      <c r="AC59" s="1478">
        <v>92512403.328596979</v>
      </c>
      <c r="AD59" s="982"/>
      <c r="AE59" s="982"/>
      <c r="AF59" s="982"/>
      <c r="AG59" s="982"/>
      <c r="AH59" s="982"/>
      <c r="AI59" s="982"/>
      <c r="AJ59" s="982"/>
      <c r="AK59" s="982"/>
      <c r="AL59" s="958"/>
      <c r="AM59" s="958"/>
      <c r="AN59" s="958"/>
      <c r="AO59" s="958"/>
      <c r="AP59" s="958"/>
    </row>
    <row r="60" spans="2:42" ht="14.25" x14ac:dyDescent="0.25">
      <c r="E60" s="1489">
        <v>10</v>
      </c>
      <c r="F60" s="988">
        <f t="shared" si="15"/>
        <v>2029</v>
      </c>
      <c r="G60" s="989">
        <v>20508453.143051434</v>
      </c>
      <c r="H60" s="989">
        <v>1791431.8930188178</v>
      </c>
      <c r="I60" s="1043">
        <f t="shared" si="11"/>
        <v>22299885.036070254</v>
      </c>
      <c r="J60" s="989">
        <v>11706974.342587864</v>
      </c>
      <c r="K60" s="989">
        <v>806144.35185846803</v>
      </c>
      <c r="L60" s="991">
        <f t="shared" si="12"/>
        <v>12513118.694446333</v>
      </c>
      <c r="M60" s="989">
        <v>2386075864.2371778</v>
      </c>
      <c r="N60" s="989">
        <v>207073404.31905654</v>
      </c>
      <c r="O60" s="1043">
        <f t="shared" si="16"/>
        <v>2593149268.5562344</v>
      </c>
      <c r="P60" s="991">
        <f t="shared" si="13"/>
        <v>737297442.04928803</v>
      </c>
      <c r="Q60" s="991">
        <f t="shared" si="14"/>
        <v>93183031.943575442</v>
      </c>
      <c r="R60" s="1494">
        <f t="shared" si="17"/>
        <v>830480473.99286342</v>
      </c>
      <c r="V60" s="1477">
        <v>6337112.0212028939</v>
      </c>
      <c r="W60" s="1056">
        <v>3285239.0770841478</v>
      </c>
      <c r="X60" s="1056">
        <v>2084623.244300822</v>
      </c>
      <c r="Y60" s="1478">
        <v>806144.35185846803</v>
      </c>
      <c r="Z60" s="1477">
        <v>399275340.45698655</v>
      </c>
      <c r="AA60" s="1056">
        <v>206690835.73700523</v>
      </c>
      <c r="AB60" s="1056">
        <v>131331265.85529631</v>
      </c>
      <c r="AC60" s="1478">
        <v>93183031.943575442</v>
      </c>
      <c r="AD60" s="982"/>
      <c r="AE60" s="982"/>
      <c r="AF60" s="982"/>
      <c r="AG60" s="982"/>
      <c r="AH60" s="982"/>
      <c r="AI60" s="982"/>
      <c r="AJ60" s="982"/>
      <c r="AK60" s="982"/>
      <c r="AL60" s="958"/>
      <c r="AM60" s="958"/>
      <c r="AN60" s="958"/>
      <c r="AO60" s="958"/>
      <c r="AP60" s="958"/>
    </row>
    <row r="61" spans="2:42" ht="14.25" x14ac:dyDescent="0.25">
      <c r="E61" s="1489">
        <v>11</v>
      </c>
      <c r="F61" s="988">
        <f t="shared" si="15"/>
        <v>2030</v>
      </c>
      <c r="G61" s="989">
        <v>21029273.855515674</v>
      </c>
      <c r="H61" s="989">
        <v>1902018.0162715276</v>
      </c>
      <c r="I61" s="1043">
        <f t="shared" si="11"/>
        <v>22931291.871787202</v>
      </c>
      <c r="J61" s="989">
        <v>11978314.630971245</v>
      </c>
      <c r="K61" s="989">
        <v>855908.1073221874</v>
      </c>
      <c r="L61" s="991">
        <f t="shared" si="12"/>
        <v>12834222.738293434</v>
      </c>
      <c r="M61" s="989">
        <v>2400123262.5396376</v>
      </c>
      <c r="N61" s="989">
        <v>208574493.3118926</v>
      </c>
      <c r="O61" s="1043">
        <f t="shared" si="16"/>
        <v>2608697755.8515301</v>
      </c>
      <c r="P61" s="991">
        <f t="shared" si="13"/>
        <v>741638088.12474811</v>
      </c>
      <c r="Q61" s="991">
        <f t="shared" si="14"/>
        <v>93858521.990351677</v>
      </c>
      <c r="R61" s="1494">
        <f t="shared" si="17"/>
        <v>835496610.11509979</v>
      </c>
      <c r="V61" s="1477">
        <v>6498045.6213543443</v>
      </c>
      <c r="W61" s="1056">
        <v>3342913.6495964997</v>
      </c>
      <c r="X61" s="1056">
        <v>2137355.3600204</v>
      </c>
      <c r="Y61" s="1478">
        <v>855908.1073221874</v>
      </c>
      <c r="Z61" s="1477">
        <v>402485606.95367128</v>
      </c>
      <c r="AA61" s="1056">
        <v>206778444.65946966</v>
      </c>
      <c r="AB61" s="1056">
        <v>132374036.51160717</v>
      </c>
      <c r="AC61" s="1478">
        <v>93858521.990351677</v>
      </c>
      <c r="AD61" s="982"/>
      <c r="AE61" s="982"/>
      <c r="AF61" s="982"/>
      <c r="AG61" s="982"/>
      <c r="AH61" s="982"/>
      <c r="AI61" s="982"/>
      <c r="AJ61" s="982"/>
      <c r="AK61" s="982"/>
      <c r="AL61" s="958"/>
      <c r="AM61" s="958"/>
      <c r="AN61" s="958"/>
      <c r="AO61" s="958"/>
      <c r="AP61" s="958"/>
    </row>
    <row r="62" spans="2:42" ht="14.25" x14ac:dyDescent="0.25">
      <c r="E62" s="1489">
        <v>12</v>
      </c>
      <c r="F62" s="988">
        <f t="shared" si="15"/>
        <v>2031</v>
      </c>
      <c r="G62" s="989">
        <v>21558500.215080988</v>
      </c>
      <c r="H62" s="989">
        <v>2016566.0805015871</v>
      </c>
      <c r="I62" s="1043">
        <f t="shared" si="11"/>
        <v>23575066.295582574</v>
      </c>
      <c r="J62" s="989">
        <v>12253348.272590557</v>
      </c>
      <c r="K62" s="989">
        <v>907454.73622571421</v>
      </c>
      <c r="L62" s="991">
        <f t="shared" si="12"/>
        <v>13160803.008816272</v>
      </c>
      <c r="M62" s="989">
        <v>2414281107.5249104</v>
      </c>
      <c r="N62" s="989">
        <v>210086463.79949042</v>
      </c>
      <c r="O62" s="1043">
        <f t="shared" si="16"/>
        <v>2624367571.3244009</v>
      </c>
      <c r="P62" s="991">
        <f t="shared" si="13"/>
        <v>746012862.22519743</v>
      </c>
      <c r="Q62" s="991">
        <f t="shared" si="14"/>
        <v>94538908.709770694</v>
      </c>
      <c r="R62" s="1494">
        <f t="shared" si="17"/>
        <v>840551770.93496811</v>
      </c>
      <c r="V62" s="1477">
        <v>6661576.5664600264</v>
      </c>
      <c r="W62" s="1056">
        <v>3400840.2577254036</v>
      </c>
      <c r="X62" s="1056">
        <v>2190931.4484051261</v>
      </c>
      <c r="Y62" s="1478">
        <v>907454.73622571421</v>
      </c>
      <c r="Z62" s="1477">
        <v>405721684.73879659</v>
      </c>
      <c r="AA62" s="1056">
        <v>206866090.71625265</v>
      </c>
      <c r="AB62" s="1056">
        <v>133425086.7701482</v>
      </c>
      <c r="AC62" s="1478">
        <v>94538908.709770694</v>
      </c>
      <c r="AD62" s="982"/>
      <c r="AE62" s="982"/>
      <c r="AF62" s="982"/>
      <c r="AG62" s="982"/>
      <c r="AH62" s="982"/>
      <c r="AI62" s="982"/>
      <c r="AJ62" s="982"/>
      <c r="AK62" s="982"/>
      <c r="AL62" s="958"/>
      <c r="AM62" s="958"/>
      <c r="AN62" s="958"/>
      <c r="AO62" s="958"/>
      <c r="AP62" s="958"/>
    </row>
    <row r="63" spans="2:42" ht="14.25" x14ac:dyDescent="0.25">
      <c r="E63" s="1489">
        <v>13</v>
      </c>
      <c r="F63" s="988">
        <f t="shared" si="15"/>
        <v>2032</v>
      </c>
      <c r="G63" s="989">
        <v>22096248.707402963</v>
      </c>
      <c r="H63" s="989">
        <v>2135196.131085366</v>
      </c>
      <c r="I63" s="1043">
        <f t="shared" si="11"/>
        <v>24231444.838488329</v>
      </c>
      <c r="J63" s="989">
        <v>12532123.722726595</v>
      </c>
      <c r="K63" s="989">
        <v>960838.25898841477</v>
      </c>
      <c r="L63" s="991">
        <f t="shared" si="12"/>
        <v>13492961.981715009</v>
      </c>
      <c r="M63" s="989">
        <v>2428550283.609056</v>
      </c>
      <c r="N63" s="989">
        <v>211609394.66253543</v>
      </c>
      <c r="O63" s="1043">
        <f t="shared" si="16"/>
        <v>2640159678.2715912</v>
      </c>
      <c r="P63" s="991">
        <f t="shared" si="13"/>
        <v>750422037.63519847</v>
      </c>
      <c r="Q63" s="991">
        <f t="shared" si="14"/>
        <v>95224227.59814094</v>
      </c>
      <c r="R63" s="1494">
        <f t="shared" si="17"/>
        <v>845646265.23333943</v>
      </c>
      <c r="V63" s="1477">
        <v>6827740.850587517</v>
      </c>
      <c r="W63" s="1056">
        <v>3459019.7733016196</v>
      </c>
      <c r="X63" s="1056">
        <v>2245363.0988374567</v>
      </c>
      <c r="Y63" s="1478">
        <v>960838.25898841477</v>
      </c>
      <c r="Z63" s="1477">
        <v>408983781.34111798</v>
      </c>
      <c r="AA63" s="1056">
        <v>206953773.92309389</v>
      </c>
      <c r="AB63" s="1056">
        <v>134484482.37098655</v>
      </c>
      <c r="AC63" s="1478">
        <v>95224227.59814094</v>
      </c>
      <c r="AD63" s="982"/>
      <c r="AE63" s="982"/>
      <c r="AF63" s="982"/>
      <c r="AG63" s="982"/>
      <c r="AH63" s="982"/>
      <c r="AI63" s="982"/>
      <c r="AJ63" s="982"/>
      <c r="AK63" s="982"/>
      <c r="AL63" s="958"/>
      <c r="AM63" s="958"/>
      <c r="AN63" s="958"/>
      <c r="AO63" s="958"/>
      <c r="AP63" s="958"/>
    </row>
    <row r="64" spans="2:42" ht="14.25" x14ac:dyDescent="0.25">
      <c r="E64" s="1489">
        <v>14</v>
      </c>
      <c r="F64" s="988">
        <f t="shared" si="15"/>
        <v>2033</v>
      </c>
      <c r="G64" s="989">
        <v>22642637.312386394</v>
      </c>
      <c r="H64" s="989">
        <v>2258031.5623008921</v>
      </c>
      <c r="I64" s="1043">
        <f t="shared" si="11"/>
        <v>24900668.874687284</v>
      </c>
      <c r="J64" s="989">
        <v>12814690.048393652</v>
      </c>
      <c r="K64" s="989">
        <v>1016114.2030354014</v>
      </c>
      <c r="L64" s="991">
        <f t="shared" si="12"/>
        <v>13830804.251429053</v>
      </c>
      <c r="M64" s="989">
        <v>2442931682.2973332</v>
      </c>
      <c r="N64" s="989">
        <v>213143365.35352385</v>
      </c>
      <c r="O64" s="1043">
        <f t="shared" si="16"/>
        <v>2656075047.650857</v>
      </c>
      <c r="P64" s="991">
        <f t="shared" si="13"/>
        <v>754865889.82987607</v>
      </c>
      <c r="Q64" s="991">
        <f t="shared" si="14"/>
        <v>95914514.409085736</v>
      </c>
      <c r="R64" s="1494">
        <f t="shared" si="17"/>
        <v>850780404.23896182</v>
      </c>
      <c r="V64" s="1477">
        <v>6996574.9295273963</v>
      </c>
      <c r="W64" s="1056">
        <v>3517453.0708933529</v>
      </c>
      <c r="X64" s="1056">
        <v>2300662.0479729036</v>
      </c>
      <c r="Y64" s="1478">
        <v>1016114.2030354014</v>
      </c>
      <c r="Z64" s="1477">
        <v>412272105.95797014</v>
      </c>
      <c r="AA64" s="1056">
        <v>207041494.29574004</v>
      </c>
      <c r="AB64" s="1056">
        <v>135552289.57616597</v>
      </c>
      <c r="AC64" s="1478">
        <v>95914514.409085736</v>
      </c>
      <c r="AD64" s="982"/>
      <c r="AE64" s="982"/>
      <c r="AF64" s="982"/>
      <c r="AG64" s="982"/>
      <c r="AH64" s="982"/>
      <c r="AI64" s="982"/>
      <c r="AJ64" s="982"/>
      <c r="AK64" s="982"/>
      <c r="AL64" s="958"/>
      <c r="AM64" s="958"/>
      <c r="AN64" s="958"/>
      <c r="AO64" s="958"/>
      <c r="AP64" s="958"/>
    </row>
    <row r="65" spans="5:42" ht="14.25" x14ac:dyDescent="0.25">
      <c r="E65" s="1489">
        <v>15</v>
      </c>
      <c r="F65" s="988">
        <f t="shared" si="15"/>
        <v>2034</v>
      </c>
      <c r="G65" s="989">
        <v>23197785.522477519</v>
      </c>
      <c r="H65" s="989">
        <v>2385199.206259686</v>
      </c>
      <c r="I65" s="1043">
        <f t="shared" si="11"/>
        <v>25582984.728737205</v>
      </c>
      <c r="J65" s="989">
        <v>13101096.935785994</v>
      </c>
      <c r="K65" s="989">
        <v>1073339.6428168588</v>
      </c>
      <c r="L65" s="991">
        <f t="shared" si="12"/>
        <v>14174436.578602852</v>
      </c>
      <c r="M65" s="989">
        <v>2457426202.2410302</v>
      </c>
      <c r="N65" s="989">
        <v>214688455.9009088</v>
      </c>
      <c r="O65" s="1043">
        <f t="shared" si="16"/>
        <v>2672114658.1419392</v>
      </c>
      <c r="P65" s="991">
        <f t="shared" si="13"/>
        <v>759344696.49247849</v>
      </c>
      <c r="Q65" s="991">
        <f t="shared" si="14"/>
        <v>96609805.155408964</v>
      </c>
      <c r="R65" s="1494">
        <f t="shared" si="17"/>
        <v>855954501.64788747</v>
      </c>
      <c r="V65" s="1477">
        <v>7168115.7264455548</v>
      </c>
      <c r="W65" s="1056">
        <v>3576141.0278143394</v>
      </c>
      <c r="X65" s="1056">
        <v>2356840.1815261003</v>
      </c>
      <c r="Y65" s="1478">
        <v>1073339.6428168588</v>
      </c>
      <c r="Z65" s="1477">
        <v>415586869.46868354</v>
      </c>
      <c r="AA65" s="1056">
        <v>207129251.84994406</v>
      </c>
      <c r="AB65" s="1056">
        <v>136628575.17385086</v>
      </c>
      <c r="AC65" s="1478">
        <v>96609805.155408964</v>
      </c>
      <c r="AD65" s="982"/>
      <c r="AE65" s="982"/>
      <c r="AF65" s="982"/>
      <c r="AG65" s="982"/>
      <c r="AH65" s="982"/>
      <c r="AI65" s="982"/>
      <c r="AJ65" s="982"/>
      <c r="AK65" s="982"/>
      <c r="AL65" s="958"/>
      <c r="AM65" s="958"/>
      <c r="AN65" s="958"/>
      <c r="AO65" s="958"/>
      <c r="AP65" s="958"/>
    </row>
    <row r="66" spans="5:42" ht="14.25" x14ac:dyDescent="0.25">
      <c r="E66" s="1489">
        <v>16</v>
      </c>
      <c r="F66" s="988">
        <f t="shared" si="15"/>
        <v>2035</v>
      </c>
      <c r="G66" s="989">
        <v>23761814.361175209</v>
      </c>
      <c r="H66" s="989">
        <v>2516829.4241247573</v>
      </c>
      <c r="I66" s="1043">
        <f t="shared" si="11"/>
        <v>26278643.785299968</v>
      </c>
      <c r="J66" s="989">
        <v>13391394.697812766</v>
      </c>
      <c r="K66" s="989">
        <v>1132573.2408561409</v>
      </c>
      <c r="L66" s="991">
        <f t="shared" si="12"/>
        <v>14523967.938668907</v>
      </c>
      <c r="M66" s="989">
        <v>2472034749.2947483</v>
      </c>
      <c r="N66" s="989">
        <v>216244746.91327488</v>
      </c>
      <c r="O66" s="1043">
        <f t="shared" si="16"/>
        <v>2688279496.2080231</v>
      </c>
      <c r="P66" s="991">
        <f t="shared" si="13"/>
        <v>763858737.53207731</v>
      </c>
      <c r="Q66" s="991">
        <f t="shared" si="14"/>
        <v>97310136.110973701</v>
      </c>
      <c r="R66" s="1494">
        <f t="shared" si="17"/>
        <v>861168873.64305103</v>
      </c>
      <c r="V66" s="1477">
        <v>7342400.6376031414</v>
      </c>
      <c r="W66" s="1056">
        <v>3635084.5241320557</v>
      </c>
      <c r="X66" s="1056">
        <v>2413909.5360775683</v>
      </c>
      <c r="Y66" s="1478">
        <v>1132573.2408561409</v>
      </c>
      <c r="Z66" s="1477">
        <v>418928284.448107</v>
      </c>
      <c r="AA66" s="1056">
        <v>207217046.60146642</v>
      </c>
      <c r="AB66" s="1056">
        <v>137713406.48250383</v>
      </c>
      <c r="AC66" s="1478">
        <v>97310136.110973701</v>
      </c>
      <c r="AD66" s="982"/>
      <c r="AE66" s="982"/>
      <c r="AF66" s="982"/>
      <c r="AG66" s="982"/>
      <c r="AH66" s="982"/>
      <c r="AI66" s="982"/>
      <c r="AJ66" s="982"/>
      <c r="AK66" s="982"/>
      <c r="AL66" s="958"/>
      <c r="AM66" s="958"/>
      <c r="AN66" s="958"/>
      <c r="AO66" s="958"/>
      <c r="AP66" s="958"/>
    </row>
    <row r="67" spans="5:42" ht="14.25" x14ac:dyDescent="0.25">
      <c r="E67" s="1489">
        <v>17</v>
      </c>
      <c r="F67" s="988">
        <f t="shared" si="15"/>
        <v>2036</v>
      </c>
      <c r="G67" s="989">
        <v>24334846.401759636</v>
      </c>
      <c r="H67" s="989">
        <v>2653056.1996712987</v>
      </c>
      <c r="I67" s="1043">
        <f t="shared" si="11"/>
        <v>26987902.601430934</v>
      </c>
      <c r="J67" s="989">
        <v>13685634.281721488</v>
      </c>
      <c r="K67" s="989">
        <v>1193875.2898520844</v>
      </c>
      <c r="L67" s="991">
        <f t="shared" si="12"/>
        <v>14879509.571573572</v>
      </c>
      <c r="M67" s="989">
        <v>2486758236.5741439</v>
      </c>
      <c r="N67" s="989">
        <v>217812319.58354402</v>
      </c>
      <c r="O67" s="1043">
        <f t="shared" si="16"/>
        <v>2704570556.1576881</v>
      </c>
      <c r="P67" s="991">
        <f t="shared" si="13"/>
        <v>768408295.10141063</v>
      </c>
      <c r="Q67" s="991">
        <f t="shared" si="14"/>
        <v>98015543.812594816</v>
      </c>
      <c r="R67" s="1494">
        <f t="shared" si="17"/>
        <v>866423838.9140054</v>
      </c>
      <c r="V67" s="1477">
        <v>7519467.5381437289</v>
      </c>
      <c r="W67" s="1056">
        <v>3694284.4426760757</v>
      </c>
      <c r="X67" s="1056">
        <v>2471882.3009016821</v>
      </c>
      <c r="Y67" s="1478">
        <v>1193875.2898520844</v>
      </c>
      <c r="Z67" s="1477">
        <v>422296565.18024069</v>
      </c>
      <c r="AA67" s="1056">
        <v>207304878.56607345</v>
      </c>
      <c r="AB67" s="1056">
        <v>138806851.35509643</v>
      </c>
      <c r="AC67" s="1478">
        <v>98015543.812594816</v>
      </c>
      <c r="AD67" s="982"/>
      <c r="AE67" s="982"/>
      <c r="AF67" s="982"/>
      <c r="AG67" s="982"/>
      <c r="AH67" s="982"/>
      <c r="AI67" s="982"/>
      <c r="AJ67" s="982"/>
      <c r="AK67" s="982"/>
      <c r="AL67" s="958"/>
      <c r="AM67" s="958"/>
      <c r="AN67" s="958"/>
      <c r="AO67" s="958"/>
      <c r="AP67" s="958"/>
    </row>
    <row r="68" spans="5:42" ht="14.25" x14ac:dyDescent="0.25">
      <c r="E68" s="1489">
        <v>18</v>
      </c>
      <c r="F68" s="988">
        <f t="shared" si="15"/>
        <v>2037</v>
      </c>
      <c r="G68" s="989">
        <v>24917005.78624481</v>
      </c>
      <c r="H68" s="989">
        <v>2794017.2352495836</v>
      </c>
      <c r="I68" s="1043">
        <f t="shared" si="11"/>
        <v>27711023.021494392</v>
      </c>
      <c r="J68" s="989">
        <v>13983867.276812285</v>
      </c>
      <c r="K68" s="989">
        <v>1257307.7558623126</v>
      </c>
      <c r="L68" s="991">
        <f t="shared" si="12"/>
        <v>15241175.032674598</v>
      </c>
      <c r="M68" s="989">
        <v>2501597584.5141392</v>
      </c>
      <c r="N68" s="989">
        <v>219391255.69321057</v>
      </c>
      <c r="O68" s="1043">
        <f t="shared" si="16"/>
        <v>2720988840.2073498</v>
      </c>
      <c r="P68" s="991">
        <f t="shared" si="13"/>
        <v>772993653.61486912</v>
      </c>
      <c r="Q68" s="991">
        <f t="shared" si="14"/>
        <v>98726065.061944753</v>
      </c>
      <c r="R68" s="1494">
        <f t="shared" si="17"/>
        <v>871719718.67681384</v>
      </c>
      <c r="V68" s="1477">
        <v>7699354.7879496478</v>
      </c>
      <c r="W68" s="1056">
        <v>3753741.6690462073</v>
      </c>
      <c r="X68" s="1056">
        <v>2530770.8198164287</v>
      </c>
      <c r="Y68" s="1478">
        <v>1257307.7558623126</v>
      </c>
      <c r="Z68" s="1477">
        <v>425691927.67197776</v>
      </c>
      <c r="AA68" s="1056">
        <v>207392747.7595385</v>
      </c>
      <c r="AB68" s="1056">
        <v>139908978.1833528</v>
      </c>
      <c r="AC68" s="1478">
        <v>98726065.061944753</v>
      </c>
      <c r="AD68" s="982"/>
      <c r="AE68" s="982"/>
      <c r="AF68" s="982"/>
      <c r="AG68" s="982"/>
      <c r="AH68" s="982"/>
      <c r="AI68" s="982"/>
      <c r="AJ68" s="982"/>
      <c r="AK68" s="982"/>
      <c r="AL68" s="958"/>
      <c r="AM68" s="958"/>
      <c r="AN68" s="958"/>
      <c r="AO68" s="958"/>
      <c r="AP68" s="958"/>
    </row>
    <row r="69" spans="5:42" ht="14.25" x14ac:dyDescent="0.25">
      <c r="E69" s="1489">
        <v>19</v>
      </c>
      <c r="F69" s="988">
        <f t="shared" si="15"/>
        <v>2038</v>
      </c>
      <c r="G69" s="989">
        <v>25508418.244555056</v>
      </c>
      <c r="H69" s="989">
        <v>2939854.0502096419</v>
      </c>
      <c r="I69" s="1043">
        <f t="shared" si="11"/>
        <v>28448272.294764698</v>
      </c>
      <c r="J69" s="989">
        <v>14286145.922242731</v>
      </c>
      <c r="K69" s="989">
        <v>1322934.3225943388</v>
      </c>
      <c r="L69" s="991">
        <f t="shared" si="12"/>
        <v>15609080.24483707</v>
      </c>
      <c r="M69" s="989">
        <v>2516553720.9275923</v>
      </c>
      <c r="N69" s="989">
        <v>220981637.61660877</v>
      </c>
      <c r="O69" s="1043">
        <f t="shared" si="16"/>
        <v>2737535358.5442009</v>
      </c>
      <c r="P69" s="991">
        <f t="shared" si="13"/>
        <v>777615099.76662612</v>
      </c>
      <c r="Q69" s="991">
        <f t="shared" si="14"/>
        <v>99441736.927473947</v>
      </c>
      <c r="R69" s="1494">
        <f t="shared" si="17"/>
        <v>877056836.69410002</v>
      </c>
      <c r="V69" s="1477">
        <v>7882101.2375675132</v>
      </c>
      <c r="W69" s="1056">
        <v>3813457.0916207726</v>
      </c>
      <c r="X69" s="1056">
        <v>2590587.5930544459</v>
      </c>
      <c r="Y69" s="1478">
        <v>1322934.3225943388</v>
      </c>
      <c r="Z69" s="1477">
        <v>429114589.66695684</v>
      </c>
      <c r="AA69" s="1056">
        <v>207480654.19764137</v>
      </c>
      <c r="AB69" s="1056">
        <v>141019855.90202782</v>
      </c>
      <c r="AC69" s="1478">
        <v>99441736.927473947</v>
      </c>
      <c r="AD69" s="982"/>
      <c r="AE69" s="982"/>
      <c r="AF69" s="982"/>
      <c r="AG69" s="982"/>
      <c r="AH69" s="982"/>
      <c r="AI69" s="982"/>
      <c r="AJ69" s="982"/>
      <c r="AK69" s="982"/>
      <c r="AL69" s="958"/>
      <c r="AM69" s="958"/>
      <c r="AN69" s="958"/>
      <c r="AO69" s="958"/>
      <c r="AP69" s="958"/>
    </row>
    <row r="70" spans="5:42" ht="14.25" x14ac:dyDescent="0.25">
      <c r="E70" s="1489">
        <v>20</v>
      </c>
      <c r="F70" s="988">
        <f t="shared" si="15"/>
        <v>2039</v>
      </c>
      <c r="G70" s="989">
        <v>26109211.113929033</v>
      </c>
      <c r="H70" s="989">
        <v>3090712.0818501301</v>
      </c>
      <c r="I70" s="1043">
        <f t="shared" si="11"/>
        <v>29199923.195779163</v>
      </c>
      <c r="J70" s="989">
        <v>14592523.114925327</v>
      </c>
      <c r="K70" s="989">
        <v>1390820.4368325586</v>
      </c>
      <c r="L70" s="991">
        <f t="shared" si="12"/>
        <v>15983343.551757885</v>
      </c>
      <c r="M70" s="989">
        <v>2531627581.0644455</v>
      </c>
      <c r="N70" s="989">
        <v>222583548.32520977</v>
      </c>
      <c r="O70" s="1043">
        <f t="shared" si="16"/>
        <v>2754211129.3896551</v>
      </c>
      <c r="P70" s="991">
        <f t="shared" si="13"/>
        <v>782272922.54891384</v>
      </c>
      <c r="Q70" s="991">
        <f t="shared" si="14"/>
        <v>100162596.7463444</v>
      </c>
      <c r="R70" s="1494">
        <f t="shared" si="17"/>
        <v>882435519.29525828</v>
      </c>
      <c r="V70" s="1477">
        <v>8067746.2342040725</v>
      </c>
      <c r="W70" s="1056">
        <v>3873431.6015647599</v>
      </c>
      <c r="X70" s="1056">
        <v>2651345.2791564949</v>
      </c>
      <c r="Y70" s="1478">
        <v>1390820.4368325586</v>
      </c>
      <c r="Z70" s="1477">
        <v>432564770.65952623</v>
      </c>
      <c r="AA70" s="1056">
        <v>207568597.89616913</v>
      </c>
      <c r="AB70" s="1056">
        <v>142139553.99321839</v>
      </c>
      <c r="AC70" s="1478">
        <v>100162596.7463444</v>
      </c>
      <c r="AD70" s="982"/>
      <c r="AE70" s="982"/>
      <c r="AF70" s="982"/>
      <c r="AG70" s="982"/>
      <c r="AH70" s="982"/>
      <c r="AI70" s="982"/>
      <c r="AJ70" s="982"/>
      <c r="AK70" s="982"/>
      <c r="AL70" s="958"/>
      <c r="AM70" s="958"/>
      <c r="AN70" s="958"/>
      <c r="AO70" s="958"/>
      <c r="AP70" s="958"/>
    </row>
    <row r="71" spans="5:42" ht="14.25" x14ac:dyDescent="0.25">
      <c r="E71" s="1489">
        <v>21</v>
      </c>
      <c r="F71" s="988">
        <f t="shared" si="15"/>
        <v>2040</v>
      </c>
      <c r="G71" s="989">
        <v>26719513.358552326</v>
      </c>
      <c r="H71" s="989">
        <v>3246740.7889540023</v>
      </c>
      <c r="I71" s="1043">
        <f t="shared" si="11"/>
        <v>29966254.147506326</v>
      </c>
      <c r="J71" s="989">
        <v>14903052.417517876</v>
      </c>
      <c r="K71" s="989">
        <v>1461033.355029301</v>
      </c>
      <c r="L71" s="991">
        <f t="shared" si="12"/>
        <v>16364085.772547178</v>
      </c>
      <c r="M71" s="989">
        <v>2546820107.6713409</v>
      </c>
      <c r="N71" s="989">
        <v>224197071.39195055</v>
      </c>
      <c r="O71" s="1043">
        <f t="shared" si="16"/>
        <v>2771017179.0632915</v>
      </c>
      <c r="P71" s="991">
        <f t="shared" si="13"/>
        <v>786967413.27044451</v>
      </c>
      <c r="Q71" s="991">
        <f t="shared" si="14"/>
        <v>100888682.12637775</v>
      </c>
      <c r="R71" s="1494">
        <f t="shared" si="17"/>
        <v>887856095.39682221</v>
      </c>
      <c r="V71" s="1477">
        <v>8256329.6277926704</v>
      </c>
      <c r="W71" s="1056">
        <v>3933666.0928384527</v>
      </c>
      <c r="X71" s="1056">
        <v>2713056.6968867541</v>
      </c>
      <c r="Y71" s="1478">
        <v>1461033.355029301</v>
      </c>
      <c r="Z71" s="1477">
        <v>436042691.90881997</v>
      </c>
      <c r="AA71" s="1056">
        <v>207656578.87091494</v>
      </c>
      <c r="AB71" s="1056">
        <v>143268142.49070957</v>
      </c>
      <c r="AC71" s="1478">
        <v>100888682.12637775</v>
      </c>
      <c r="AD71" s="982"/>
      <c r="AE71" s="982"/>
      <c r="AF71" s="982"/>
      <c r="AG71" s="982"/>
      <c r="AH71" s="982"/>
      <c r="AI71" s="982"/>
      <c r="AJ71" s="982"/>
      <c r="AK71" s="982"/>
      <c r="AL71" s="958"/>
      <c r="AM71" s="958"/>
      <c r="AN71" s="958"/>
      <c r="AO71" s="958"/>
      <c r="AP71" s="958"/>
    </row>
    <row r="72" spans="5:42" ht="14.25" x14ac:dyDescent="0.25">
      <c r="E72" s="1489">
        <v>22</v>
      </c>
      <c r="F72" s="988">
        <f t="shared" si="15"/>
        <v>2041</v>
      </c>
      <c r="G72" s="989">
        <v>27339455.589425355</v>
      </c>
      <c r="H72" s="989">
        <v>3408093.7579765609</v>
      </c>
      <c r="I72" s="1043">
        <f t="shared" si="11"/>
        <v>30747549.347401917</v>
      </c>
      <c r="J72" s="989">
        <v>15217788.066508764</v>
      </c>
      <c r="K72" s="989">
        <v>1533642.1910894525</v>
      </c>
      <c r="L72" s="991">
        <f t="shared" si="12"/>
        <v>16751430.257598218</v>
      </c>
      <c r="M72" s="989">
        <v>2562132251.0517154</v>
      </c>
      <c r="N72" s="989">
        <v>225822290.99559414</v>
      </c>
      <c r="O72" s="1043">
        <f t="shared" si="16"/>
        <v>2787954542.0473094</v>
      </c>
      <c r="P72" s="991">
        <f t="shared" si="13"/>
        <v>791698865.57498014</v>
      </c>
      <c r="Q72" s="991">
        <f t="shared" si="14"/>
        <v>101620030.94801737</v>
      </c>
      <c r="R72" s="1494">
        <f t="shared" si="17"/>
        <v>893318896.5229975</v>
      </c>
      <c r="V72" s="1477">
        <v>8447891.7771324366</v>
      </c>
      <c r="W72" s="1056">
        <v>3994161.4622054892</v>
      </c>
      <c r="X72" s="1056">
        <v>2775734.8271708395</v>
      </c>
      <c r="Y72" s="1478">
        <v>1533642.1910894525</v>
      </c>
      <c r="Z72" s="1477">
        <v>439548576.45294666</v>
      </c>
      <c r="AA72" s="1056">
        <v>207744597.13767883</v>
      </c>
      <c r="AB72" s="1056">
        <v>144405691.98435473</v>
      </c>
      <c r="AC72" s="1478">
        <v>101620030.94801737</v>
      </c>
      <c r="AD72" s="982"/>
      <c r="AE72" s="982"/>
      <c r="AF72" s="982"/>
      <c r="AG72" s="982"/>
      <c r="AH72" s="982"/>
      <c r="AI72" s="982"/>
      <c r="AJ72" s="982"/>
      <c r="AK72" s="982"/>
      <c r="AL72" s="958"/>
      <c r="AM72" s="958"/>
      <c r="AN72" s="958"/>
      <c r="AO72" s="958"/>
      <c r="AP72" s="958"/>
    </row>
    <row r="73" spans="5:42" ht="14.25" x14ac:dyDescent="0.25">
      <c r="E73" s="1489">
        <v>23</v>
      </c>
      <c r="F73" s="988">
        <f t="shared" si="15"/>
        <v>2042</v>
      </c>
      <c r="G73" s="989">
        <v>27969170.0844648</v>
      </c>
      <c r="H73" s="989">
        <v>3574928.8119515483</v>
      </c>
      <c r="I73" s="1043">
        <f t="shared" si="11"/>
        <v>31544098.896416347</v>
      </c>
      <c r="J73" s="989">
        <v>15536784.980397306</v>
      </c>
      <c r="K73" s="989">
        <v>1608717.9653781967</v>
      </c>
      <c r="L73" s="991">
        <f t="shared" si="12"/>
        <v>17145502.945775501</v>
      </c>
      <c r="M73" s="989">
        <v>2577564969.1263809</v>
      </c>
      <c r="N73" s="989">
        <v>227459291.92512062</v>
      </c>
      <c r="O73" s="1043">
        <f t="shared" si="16"/>
        <v>2805024261.0515018</v>
      </c>
      <c r="P73" s="991">
        <f t="shared" si="13"/>
        <v>796467575.46005189</v>
      </c>
      <c r="Q73" s="991">
        <f t="shared" si="14"/>
        <v>102356681.36630428</v>
      </c>
      <c r="R73" s="1494">
        <f t="shared" si="17"/>
        <v>898824256.82635617</v>
      </c>
      <c r="V73" s="1477">
        <v>8642473.5560996253</v>
      </c>
      <c r="W73" s="1056">
        <v>4054918.6092412523</v>
      </c>
      <c r="X73" s="1056">
        <v>2839392.8150564288</v>
      </c>
      <c r="Y73" s="1478">
        <v>1608717.9653781967</v>
      </c>
      <c r="Z73" s="1477">
        <v>443082649.12329322</v>
      </c>
      <c r="AA73" s="1056">
        <v>207832652.71226767</v>
      </c>
      <c r="AB73" s="1056">
        <v>145552273.62449107</v>
      </c>
      <c r="AC73" s="1478">
        <v>102356681.36630428</v>
      </c>
      <c r="AD73" s="982"/>
      <c r="AE73" s="982"/>
      <c r="AF73" s="982"/>
      <c r="AG73" s="982"/>
      <c r="AH73" s="982"/>
      <c r="AI73" s="982"/>
      <c r="AJ73" s="982"/>
      <c r="AK73" s="982"/>
      <c r="AL73" s="958"/>
      <c r="AM73" s="958"/>
      <c r="AN73" s="958"/>
      <c r="AO73" s="958"/>
      <c r="AP73" s="958"/>
    </row>
    <row r="74" spans="5:42" ht="14.25" x14ac:dyDescent="0.25">
      <c r="E74" s="1489">
        <v>24</v>
      </c>
      <c r="F74" s="988">
        <f t="shared" si="15"/>
        <v>2043</v>
      </c>
      <c r="G74" s="989">
        <v>28608790.80884273</v>
      </c>
      <c r="H74" s="989">
        <v>3747408.1221839823</v>
      </c>
      <c r="I74" s="1043">
        <f t="shared" si="11"/>
        <v>32356198.931026712</v>
      </c>
      <c r="J74" s="989">
        <v>15860098.767970771</v>
      </c>
      <c r="K74" s="989">
        <v>1686333.654982792</v>
      </c>
      <c r="L74" s="991">
        <f t="shared" si="12"/>
        <v>17546432.422953561</v>
      </c>
      <c r="M74" s="989">
        <v>2593119227.4945874</v>
      </c>
      <c r="N74" s="989">
        <v>229108159.58415127</v>
      </c>
      <c r="O74" s="1043">
        <f t="shared" si="16"/>
        <v>2822227387.0787387</v>
      </c>
      <c r="P74" s="991">
        <f t="shared" si="13"/>
        <v>801273841.29582763</v>
      </c>
      <c r="Q74" s="991">
        <f t="shared" si="14"/>
        <v>103098671.81286807</v>
      </c>
      <c r="R74" s="1494">
        <f t="shared" si="17"/>
        <v>904372513.10869575</v>
      </c>
      <c r="V74" s="1477">
        <v>8840116.3599324059</v>
      </c>
      <c r="W74" s="1056">
        <v>4115938.4363414189</v>
      </c>
      <c r="X74" s="1056">
        <v>2904043.9716969463</v>
      </c>
      <c r="Y74" s="1478">
        <v>1686333.654982792</v>
      </c>
      <c r="Z74" s="1477">
        <v>446645136.55894303</v>
      </c>
      <c r="AA74" s="1056">
        <v>207920745.61049488</v>
      </c>
      <c r="AB74" s="1056">
        <v>146707959.12638965</v>
      </c>
      <c r="AC74" s="1478">
        <v>103098671.81286807</v>
      </c>
      <c r="AD74" s="982"/>
      <c r="AE74" s="982"/>
      <c r="AF74" s="982"/>
      <c r="AG74" s="982"/>
      <c r="AH74" s="982"/>
      <c r="AI74" s="982"/>
      <c r="AJ74" s="982"/>
      <c r="AK74" s="982"/>
      <c r="AL74" s="958"/>
      <c r="AM74" s="958"/>
      <c r="AN74" s="958"/>
      <c r="AO74" s="958"/>
      <c r="AP74" s="958"/>
    </row>
    <row r="75" spans="5:42" ht="14.4" thickBot="1" x14ac:dyDescent="0.35">
      <c r="E75" s="1490" t="s">
        <v>314</v>
      </c>
      <c r="F75" s="1491"/>
      <c r="G75" s="1057">
        <f t="shared" ref="G75:L75" si="18">SUM(G54:G74)</f>
        <v>478871015.71448892</v>
      </c>
      <c r="H75" s="1057">
        <f t="shared" si="18"/>
        <v>49093913.684354946</v>
      </c>
      <c r="I75" s="1057">
        <f t="shared" si="18"/>
        <v>527964929.39884388</v>
      </c>
      <c r="J75" s="1492">
        <f t="shared" si="18"/>
        <v>270588410.67926514</v>
      </c>
      <c r="K75" s="1492">
        <f t="shared" si="18"/>
        <v>22092261.157959718</v>
      </c>
      <c r="L75" s="1492">
        <f t="shared" si="18"/>
        <v>292680671.8372249</v>
      </c>
      <c r="M75" s="1057">
        <f t="shared" ref="M75:R75" si="19">SUM(M54:M74)</f>
        <v>51345131989.632622</v>
      </c>
      <c r="N75" s="1057">
        <f t="shared" si="19"/>
        <v>4480293023.3861389</v>
      </c>
      <c r="O75" s="1057">
        <f t="shared" si="19"/>
        <v>55825425013.018768</v>
      </c>
      <c r="P75" s="1492">
        <f t="shared" si="19"/>
        <v>15865645784.796488</v>
      </c>
      <c r="Q75" s="1492">
        <f t="shared" si="19"/>
        <v>2016131860.5237622</v>
      </c>
      <c r="R75" s="1493">
        <f t="shared" si="19"/>
        <v>17881777645.320244</v>
      </c>
      <c r="V75" s="1480">
        <f t="shared" ref="V75:AC75" si="20">SUM(V54:V74)</f>
        <v>147971143.85577708</v>
      </c>
      <c r="W75" s="1057">
        <f t="shared" si="20"/>
        <v>73964564.055762365</v>
      </c>
      <c r="X75" s="1057">
        <f t="shared" si="20"/>
        <v>48652702.767725706</v>
      </c>
      <c r="Y75" s="1481">
        <f t="shared" si="20"/>
        <v>22092261.157959718</v>
      </c>
      <c r="Z75" s="1480">
        <f t="shared" si="20"/>
        <v>8667896724.797308</v>
      </c>
      <c r="AA75" s="1057">
        <f t="shared" si="20"/>
        <v>4347885695.1243038</v>
      </c>
      <c r="AB75" s="1057">
        <f t="shared" si="20"/>
        <v>2849863364.8748727</v>
      </c>
      <c r="AC75" s="1481">
        <f t="shared" si="20"/>
        <v>2016131860.5237622</v>
      </c>
      <c r="AD75" s="982"/>
      <c r="AE75" s="982"/>
      <c r="AF75" s="982"/>
      <c r="AG75" s="982"/>
      <c r="AH75" s="982"/>
      <c r="AI75" s="982"/>
      <c r="AJ75" s="982"/>
      <c r="AK75" s="982"/>
      <c r="AL75" s="958"/>
      <c r="AM75" s="958"/>
      <c r="AN75" s="958"/>
      <c r="AO75" s="958"/>
      <c r="AP75" s="958"/>
    </row>
    <row r="76" spans="5:42" ht="17.399999999999999" x14ac:dyDescent="0.3">
      <c r="E76" s="995" t="s">
        <v>338</v>
      </c>
      <c r="P76" s="1827" t="s">
        <v>904</v>
      </c>
      <c r="Q76" s="1827"/>
      <c r="R76" s="1483">
        <f>R74-R54</f>
        <v>103186325.32010448</v>
      </c>
      <c r="AD76" s="1475"/>
      <c r="AE76" s="1475"/>
      <c r="AF76" s="1475"/>
      <c r="AG76" s="1475"/>
      <c r="AH76" s="1475"/>
      <c r="AI76" s="1475"/>
      <c r="AJ76" s="1475"/>
      <c r="AK76" s="1475"/>
      <c r="AL76" s="958"/>
      <c r="AM76" s="958"/>
      <c r="AN76" s="958"/>
      <c r="AO76" s="958"/>
      <c r="AP76" s="958"/>
    </row>
    <row r="77" spans="5:42" ht="13.8" x14ac:dyDescent="0.3">
      <c r="G77" s="715"/>
      <c r="H77" s="715"/>
      <c r="I77" s="715"/>
      <c r="J77" s="715"/>
      <c r="K77" s="715"/>
      <c r="L77" s="715"/>
      <c r="P77" s="1794" t="s">
        <v>866</v>
      </c>
      <c r="Q77" s="1794"/>
      <c r="R77" s="1548">
        <f>R76/21</f>
        <v>4913634.5390525945</v>
      </c>
      <c r="X77" s="1794" t="s">
        <v>904</v>
      </c>
      <c r="Y77" s="1794"/>
      <c r="Z77" s="1408">
        <f>Z74-Z54</f>
        <v>66100772.725733936</v>
      </c>
      <c r="AA77" s="1408">
        <f t="shared" ref="AA77:AC77" si="21">AA74-AA54</f>
        <v>1754784.4681873024</v>
      </c>
      <c r="AB77" s="1408">
        <f t="shared" si="21"/>
        <v>21463062.266287431</v>
      </c>
      <c r="AC77" s="1408">
        <f t="shared" si="21"/>
        <v>13867705.859895691</v>
      </c>
      <c r="AD77" s="958"/>
      <c r="AE77" s="958"/>
      <c r="AF77" s="958"/>
      <c r="AG77" s="958"/>
      <c r="AH77" s="958"/>
      <c r="AI77" s="958"/>
      <c r="AJ77" s="958"/>
      <c r="AK77" s="958"/>
      <c r="AL77" s="958"/>
      <c r="AM77" s="958"/>
      <c r="AN77" s="958"/>
      <c r="AO77" s="958"/>
      <c r="AP77" s="958"/>
    </row>
    <row r="78" spans="5:42" ht="13.8" x14ac:dyDescent="0.3">
      <c r="G78" s="715" t="str">
        <f>IF(G75=Z35,"OK","Check")</f>
        <v>Check</v>
      </c>
      <c r="H78" s="715" t="str">
        <f>IF(H75=Z42,"OK","Check")</f>
        <v>Check</v>
      </c>
      <c r="I78" s="715" t="str">
        <f>IF(I75=Z45,"OK","Check")</f>
        <v>Check</v>
      </c>
      <c r="J78" s="715" t="str">
        <f>IF(J75=Z36,"OK","Check")</f>
        <v>Check</v>
      </c>
      <c r="K78" s="715" t="str">
        <f>IF(K75=Z43,"OK","Check")</f>
        <v>Check</v>
      </c>
      <c r="L78" s="715" t="str">
        <f>IF(L75=Z46,"OK","Check")</f>
        <v>Check</v>
      </c>
      <c r="X78" s="1794" t="s">
        <v>866</v>
      </c>
      <c r="Y78" s="1794"/>
      <c r="Z78" s="1408">
        <f>Z77/21</f>
        <v>3147655.8440825683</v>
      </c>
      <c r="AA78" s="1408">
        <f t="shared" ref="AA78:AC78" si="22">AA77/21</f>
        <v>83561.165151776309</v>
      </c>
      <c r="AB78" s="1408">
        <f t="shared" si="22"/>
        <v>1022050.5841089253</v>
      </c>
      <c r="AC78" s="1408">
        <f t="shared" si="22"/>
        <v>660366.94570931862</v>
      </c>
      <c r="AD78" s="958"/>
      <c r="AE78" s="958"/>
      <c r="AF78" s="958"/>
      <c r="AG78" s="958"/>
      <c r="AH78" s="958"/>
      <c r="AI78" s="958"/>
      <c r="AJ78" s="958"/>
      <c r="AK78" s="958"/>
      <c r="AL78" s="958"/>
      <c r="AM78" s="958"/>
      <c r="AN78" s="958"/>
      <c r="AO78" s="958"/>
      <c r="AP78" s="958"/>
    </row>
    <row r="79" spans="5:42" x14ac:dyDescent="0.3">
      <c r="G79" s="1044">
        <f>G75/$I$75</f>
        <v>0.90701292652098175</v>
      </c>
      <c r="H79" s="1044">
        <f>H75/$I$75</f>
        <v>9.298707347901819E-2</v>
      </c>
      <c r="I79" s="1044">
        <f>SUM(G79:H79)</f>
        <v>1</v>
      </c>
      <c r="J79" s="1044">
        <f>J75/$L$75</f>
        <v>0.92451752615134619</v>
      </c>
      <c r="K79" s="1044">
        <f>K75/$L$75</f>
        <v>7.5482473848653683E-2</v>
      </c>
      <c r="L79" s="1044">
        <f>SUM(J79:K79)</f>
        <v>0.99999999999999989</v>
      </c>
      <c r="M79" s="1045"/>
      <c r="AD79" s="958"/>
      <c r="AE79" s="958"/>
      <c r="AF79" s="958"/>
      <c r="AG79" s="958"/>
      <c r="AH79" s="958"/>
      <c r="AI79" s="958"/>
      <c r="AJ79" s="958"/>
      <c r="AK79" s="958"/>
      <c r="AL79" s="958"/>
      <c r="AM79" s="958"/>
      <c r="AN79" s="958"/>
      <c r="AO79" s="958"/>
      <c r="AP79" s="958"/>
    </row>
    <row r="80" spans="5:42" x14ac:dyDescent="0.3">
      <c r="AD80" s="958"/>
      <c r="AE80" s="958"/>
      <c r="AF80" s="958"/>
      <c r="AG80" s="958"/>
      <c r="AH80" s="958"/>
      <c r="AI80" s="958"/>
      <c r="AJ80" s="958"/>
      <c r="AK80" s="958"/>
      <c r="AL80" s="958"/>
      <c r="AM80" s="958"/>
      <c r="AN80" s="958"/>
      <c r="AO80" s="958"/>
      <c r="AP80" s="958"/>
    </row>
    <row r="81" spans="30:42" x14ac:dyDescent="0.3">
      <c r="AD81" s="958"/>
      <c r="AE81" s="958"/>
      <c r="AF81" s="958"/>
      <c r="AG81" s="958"/>
      <c r="AH81" s="958"/>
      <c r="AI81" s="958"/>
      <c r="AJ81" s="958"/>
      <c r="AK81" s="958"/>
      <c r="AL81" s="958"/>
      <c r="AM81" s="958"/>
      <c r="AN81" s="958"/>
      <c r="AO81" s="958"/>
      <c r="AP81" s="958"/>
    </row>
    <row r="82" spans="30:42" x14ac:dyDescent="0.3">
      <c r="AD82" s="958"/>
      <c r="AE82" s="958"/>
      <c r="AF82" s="958"/>
      <c r="AG82" s="958"/>
      <c r="AH82" s="958"/>
      <c r="AI82" s="958"/>
      <c r="AJ82" s="958"/>
      <c r="AK82" s="958"/>
      <c r="AL82" s="958"/>
      <c r="AM82" s="958"/>
      <c r="AN82" s="958"/>
      <c r="AO82" s="958"/>
      <c r="AP82" s="958"/>
    </row>
    <row r="83" spans="30:42" x14ac:dyDescent="0.3">
      <c r="AD83" s="958"/>
      <c r="AE83" s="958"/>
      <c r="AF83" s="958"/>
      <c r="AG83" s="958"/>
      <c r="AH83" s="958"/>
      <c r="AI83" s="958"/>
      <c r="AJ83" s="958"/>
      <c r="AK83" s="958"/>
      <c r="AL83" s="958"/>
      <c r="AM83" s="958"/>
      <c r="AN83" s="958"/>
      <c r="AO83" s="958"/>
      <c r="AP83" s="958"/>
    </row>
    <row r="84" spans="30:42" x14ac:dyDescent="0.3">
      <c r="AD84" s="958"/>
      <c r="AE84" s="958"/>
      <c r="AF84" s="958"/>
      <c r="AG84" s="958"/>
      <c r="AH84" s="958"/>
      <c r="AI84" s="958"/>
      <c r="AJ84" s="958"/>
      <c r="AK84" s="958"/>
      <c r="AL84" s="958"/>
      <c r="AM84" s="958"/>
      <c r="AN84" s="958"/>
      <c r="AO84" s="958"/>
      <c r="AP84" s="958"/>
    </row>
  </sheetData>
  <mergeCells count="19">
    <mergeCell ref="AC52:AC53"/>
    <mergeCell ref="X77:Y77"/>
    <mergeCell ref="X78:Y78"/>
    <mergeCell ref="P76:Q76"/>
    <mergeCell ref="P77:Q77"/>
    <mergeCell ref="F5:H5"/>
    <mergeCell ref="J5:L5"/>
    <mergeCell ref="Z52:AB52"/>
    <mergeCell ref="B8:C8"/>
    <mergeCell ref="E10:Y10"/>
    <mergeCell ref="E52:E53"/>
    <mergeCell ref="F52:F53"/>
    <mergeCell ref="G52:I52"/>
    <mergeCell ref="J52:L52"/>
    <mergeCell ref="E49:L49"/>
    <mergeCell ref="V52:X52"/>
    <mergeCell ref="Y52:Y53"/>
    <mergeCell ref="M52:O52"/>
    <mergeCell ref="P52:R5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N360"/>
  <sheetViews>
    <sheetView topLeftCell="A113" zoomScale="55" zoomScaleNormal="55" workbookViewId="0">
      <selection activeCell="G162" sqref="G162"/>
    </sheetView>
  </sheetViews>
  <sheetFormatPr defaultColWidth="9.109375" defaultRowHeight="20.399999999999999" x14ac:dyDescent="0.3"/>
  <cols>
    <col min="1" max="1" width="5.109375" style="1064" customWidth="1"/>
    <col min="2" max="2" width="40" style="1191" customWidth="1"/>
    <col min="3" max="3" width="16.88671875" style="1066" customWidth="1"/>
    <col min="4" max="4" width="18" style="587" customWidth="1"/>
    <col min="5" max="5" width="18.33203125" style="587" customWidth="1"/>
    <col min="6" max="6" width="21.6640625" style="587" customWidth="1"/>
    <col min="7" max="7" width="19.6640625" style="587" bestFit="1" customWidth="1"/>
    <col min="8" max="8" width="17.33203125" style="587" bestFit="1" customWidth="1"/>
    <col min="9" max="9" width="19.44140625" style="587" customWidth="1"/>
    <col min="10" max="10" width="17.33203125" style="587" customWidth="1"/>
    <col min="11" max="11" width="13.88671875" style="587" customWidth="1"/>
    <col min="12" max="12" width="14.44140625" style="587" customWidth="1"/>
    <col min="13" max="13" width="16.6640625" style="587" customWidth="1"/>
    <col min="14" max="15" width="14.88671875" style="587" customWidth="1"/>
    <col min="16" max="16" width="15.88671875" style="587" customWidth="1"/>
    <col min="17" max="17" width="17.109375" style="587" customWidth="1"/>
    <col min="18" max="19" width="15" style="587" bestFit="1" customWidth="1"/>
    <col min="20" max="20" width="17" style="587" customWidth="1"/>
    <col min="21" max="21" width="16.5546875" style="587" customWidth="1"/>
    <col min="22" max="22" width="14.5546875" style="587" customWidth="1"/>
    <col min="23" max="24" width="14.109375" style="587" customWidth="1"/>
    <col min="25" max="25" width="20.6640625" style="1066" customWidth="1"/>
    <col min="26" max="26" width="16.109375" style="1066" customWidth="1"/>
    <col min="27" max="27" width="8.44140625" style="1066" customWidth="1"/>
    <col min="28" max="28" width="16.109375" style="1066" customWidth="1"/>
    <col min="29" max="29" width="16.44140625" style="1066" customWidth="1"/>
    <col min="30" max="30" width="17.6640625" style="1066" customWidth="1"/>
    <col min="31" max="32" width="12.6640625" style="1066" customWidth="1"/>
    <col min="33" max="33" width="5.6640625" style="1066" customWidth="1"/>
    <col min="34" max="34" width="10.5546875" style="1066" customWidth="1"/>
    <col min="35" max="35" width="11" style="1066" customWidth="1"/>
    <col min="36" max="36" width="15.33203125" style="1066" customWidth="1"/>
    <col min="37" max="38" width="15.88671875" style="1066" customWidth="1"/>
    <col min="39" max="39" width="15" style="1066" customWidth="1"/>
    <col min="40" max="40" width="9.109375" style="1066"/>
    <col min="41" max="16384" width="9.109375" style="587"/>
  </cols>
  <sheetData>
    <row r="1" spans="2:26" ht="20.25" x14ac:dyDescent="0.25">
      <c r="B1" s="1065"/>
      <c r="D1" s="1066"/>
      <c r="E1" s="1066"/>
      <c r="F1" s="1066"/>
      <c r="G1" s="1066"/>
      <c r="H1" s="1066"/>
      <c r="I1" s="1066"/>
      <c r="J1" s="1066"/>
      <c r="K1" s="1066"/>
      <c r="L1" s="1066"/>
      <c r="M1" s="1066"/>
      <c r="N1" s="1066"/>
      <c r="O1" s="1066"/>
      <c r="P1" s="1066"/>
      <c r="Q1" s="1066"/>
      <c r="R1" s="1066"/>
      <c r="S1" s="1066"/>
      <c r="T1" s="1066"/>
      <c r="U1" s="1066"/>
      <c r="V1" s="1066"/>
      <c r="W1" s="1066"/>
      <c r="X1" s="1066"/>
    </row>
    <row r="2" spans="2:26" ht="20.25" x14ac:dyDescent="0.25">
      <c r="B2" s="948" t="s">
        <v>713</v>
      </c>
      <c r="C2" s="716"/>
      <c r="D2" s="1066"/>
      <c r="E2" s="1066"/>
      <c r="F2" s="1066"/>
      <c r="G2" s="1066"/>
      <c r="H2" s="1066"/>
      <c r="I2" s="1066"/>
      <c r="J2" s="1066"/>
      <c r="K2" s="1066"/>
      <c r="L2" s="1066"/>
      <c r="M2" s="1066"/>
      <c r="N2" s="1066"/>
      <c r="O2" s="1066"/>
      <c r="P2" s="1066"/>
      <c r="Q2" s="1066"/>
      <c r="R2" s="1066"/>
      <c r="S2" s="1066"/>
      <c r="T2" s="1066"/>
      <c r="U2" s="1066"/>
      <c r="V2" s="1066"/>
      <c r="W2" s="1066"/>
      <c r="X2" s="1066"/>
    </row>
    <row r="3" spans="2:26" ht="20.25" x14ac:dyDescent="0.25">
      <c r="B3" s="948" t="s">
        <v>716</v>
      </c>
      <c r="D3" s="1066"/>
      <c r="E3" s="1066"/>
      <c r="F3" s="1066"/>
      <c r="G3" s="1066"/>
      <c r="H3" s="1066"/>
      <c r="I3" s="1066"/>
      <c r="J3" s="1066"/>
      <c r="K3" s="1066"/>
      <c r="L3" s="1066"/>
      <c r="M3" s="1066"/>
      <c r="N3" s="1066"/>
      <c r="O3" s="1066"/>
      <c r="P3" s="1066"/>
      <c r="Q3" s="1066"/>
      <c r="R3" s="1066"/>
      <c r="S3" s="1066"/>
      <c r="T3" s="1066"/>
      <c r="U3" s="1066"/>
      <c r="V3" s="1066"/>
      <c r="W3" s="1066"/>
      <c r="X3" s="1066"/>
    </row>
    <row r="4" spans="2:26" ht="20.25" x14ac:dyDescent="0.25">
      <c r="B4" s="1065"/>
      <c r="D4" s="1067"/>
      <c r="E4" s="1067"/>
      <c r="F4" s="1067"/>
      <c r="G4" s="1067"/>
      <c r="H4" s="1067"/>
      <c r="I4" s="1067"/>
      <c r="J4" s="1067"/>
      <c r="K4" s="1067"/>
      <c r="L4" s="1067"/>
      <c r="M4" s="1067"/>
      <c r="N4" s="1067"/>
      <c r="O4" s="1067"/>
      <c r="P4" s="1067"/>
      <c r="Q4" s="1067"/>
      <c r="R4" s="1067"/>
      <c r="S4" s="1067"/>
      <c r="T4" s="1067"/>
      <c r="U4" s="1067"/>
      <c r="V4" s="1067"/>
      <c r="W4" s="1067"/>
      <c r="X4" s="1067"/>
    </row>
    <row r="5" spans="2:26" ht="24" thickBot="1" x14ac:dyDescent="0.3">
      <c r="B5" s="1065"/>
      <c r="D5" s="1844" t="s">
        <v>492</v>
      </c>
      <c r="E5" s="1844"/>
      <c r="F5" s="1844"/>
      <c r="G5" s="1844"/>
      <c r="H5" s="1844"/>
      <c r="I5" s="1844"/>
      <c r="J5" s="1844"/>
      <c r="K5" s="1844"/>
      <c r="L5" s="1844"/>
      <c r="M5" s="1844"/>
      <c r="N5" s="1844"/>
      <c r="O5" s="1844"/>
      <c r="P5" s="1844"/>
      <c r="Q5" s="1844"/>
      <c r="R5" s="1844"/>
      <c r="S5" s="1844"/>
      <c r="T5" s="1844"/>
      <c r="U5" s="1844"/>
      <c r="V5" s="1844"/>
      <c r="W5" s="1844"/>
      <c r="X5" s="1844"/>
    </row>
    <row r="6" spans="2:26" ht="21" thickBot="1" x14ac:dyDescent="0.3">
      <c r="B6" s="1068"/>
      <c r="C6" s="1069"/>
      <c r="D6" s="719">
        <v>2023</v>
      </c>
      <c r="E6" s="717">
        <f>D6+1</f>
        <v>2024</v>
      </c>
      <c r="F6" s="717">
        <f t="shared" ref="F6:X6" si="0">E6+1</f>
        <v>2025</v>
      </c>
      <c r="G6" s="717">
        <f t="shared" si="0"/>
        <v>2026</v>
      </c>
      <c r="H6" s="717">
        <f t="shared" si="0"/>
        <v>2027</v>
      </c>
      <c r="I6" s="717">
        <f t="shared" si="0"/>
        <v>2028</v>
      </c>
      <c r="J6" s="717">
        <f t="shared" si="0"/>
        <v>2029</v>
      </c>
      <c r="K6" s="717">
        <f t="shared" si="0"/>
        <v>2030</v>
      </c>
      <c r="L6" s="717">
        <f t="shared" si="0"/>
        <v>2031</v>
      </c>
      <c r="M6" s="717">
        <f t="shared" si="0"/>
        <v>2032</v>
      </c>
      <c r="N6" s="717">
        <f t="shared" si="0"/>
        <v>2033</v>
      </c>
      <c r="O6" s="717">
        <f t="shared" si="0"/>
        <v>2034</v>
      </c>
      <c r="P6" s="717">
        <f t="shared" si="0"/>
        <v>2035</v>
      </c>
      <c r="Q6" s="717">
        <f t="shared" si="0"/>
        <v>2036</v>
      </c>
      <c r="R6" s="717">
        <f t="shared" si="0"/>
        <v>2037</v>
      </c>
      <c r="S6" s="717">
        <f t="shared" si="0"/>
        <v>2038</v>
      </c>
      <c r="T6" s="717">
        <f t="shared" si="0"/>
        <v>2039</v>
      </c>
      <c r="U6" s="717">
        <f t="shared" si="0"/>
        <v>2040</v>
      </c>
      <c r="V6" s="717">
        <f t="shared" si="0"/>
        <v>2041</v>
      </c>
      <c r="W6" s="717">
        <f t="shared" si="0"/>
        <v>2042</v>
      </c>
      <c r="X6" s="718">
        <f t="shared" si="0"/>
        <v>2043</v>
      </c>
      <c r="Y6" s="1069"/>
    </row>
    <row r="7" spans="2:26" ht="20.25" x14ac:dyDescent="0.25">
      <c r="B7" s="1070" t="s">
        <v>561</v>
      </c>
      <c r="C7" s="1071"/>
      <c r="D7" s="1072">
        <f>'Build.vs.No-Build'!F4</f>
        <v>328208471.54129839</v>
      </c>
      <c r="E7" s="1073">
        <f>'Build.vs.No-Build'!G4</f>
        <v>330966672.25379324</v>
      </c>
      <c r="F7" s="1073">
        <f>'Build.vs.No-Build'!H4</f>
        <v>333748052.35326332</v>
      </c>
      <c r="G7" s="1073">
        <f>'Build.vs.No-Build'!I4</f>
        <v>336552806.63480759</v>
      </c>
      <c r="H7" s="1073">
        <f>'Build.vs.No-Build'!J4</f>
        <v>339381131.53054529</v>
      </c>
      <c r="I7" s="1073">
        <f>'Build.vs.No-Build'!K4</f>
        <v>342233225.12337345</v>
      </c>
      <c r="J7" s="1073">
        <f>'Build.vs.No-Build'!L4</f>
        <v>345109287.16083956</v>
      </c>
      <c r="K7" s="1073">
        <f>'Build.vs.No-Build'!M4</f>
        <v>348009519.06913096</v>
      </c>
      <c r="L7" s="1073">
        <f>'Build.vs.No-Build'!N4</f>
        <v>350934123.96718186</v>
      </c>
      <c r="M7" s="1073">
        <f>'Build.vs.No-Build'!O4</f>
        <v>353883306.68089879</v>
      </c>
      <c r="N7" s="1073">
        <f>'Build.vs.No-Build'!P4</f>
        <v>356857273.75750566</v>
      </c>
      <c r="O7" s="1073">
        <f>'Build.vs.No-Build'!Q4</f>
        <v>359856233.48000956</v>
      </c>
      <c r="P7" s="1073">
        <f>'Build.vs.No-Build'!R4</f>
        <v>362880395.88178772</v>
      </c>
      <c r="Q7" s="1073">
        <f>'Build.vs.No-Build'!S4</f>
        <v>365929972.76129746</v>
      </c>
      <c r="R7" s="1073">
        <f>'Build.vs.No-Build'!T4</f>
        <v>369005177.69690943</v>
      </c>
      <c r="S7" s="1073">
        <f>'Build.vs.No-Build'!U4</f>
        <v>372106226.06186557</v>
      </c>
      <c r="T7" s="1073">
        <f>'Build.vs.No-Build'!V4</f>
        <v>375233335.03936327</v>
      </c>
      <c r="U7" s="1073">
        <f>'Build.vs.No-Build'!W4</f>
        <v>378386723.63776565</v>
      </c>
      <c r="V7" s="1073">
        <f>'Build.vs.No-Build'!X4</f>
        <v>381566612.70593965</v>
      </c>
      <c r="W7" s="1073">
        <f>'Build.vs.No-Build'!Y4</f>
        <v>384773224.94872373</v>
      </c>
      <c r="X7" s="1074">
        <f>'Build.vs.No-Build'!Z4</f>
        <v>388006784.94252479</v>
      </c>
      <c r="Y7" s="1075"/>
    </row>
    <row r="8" spans="2:26" ht="20.25" x14ac:dyDescent="0.25">
      <c r="B8" s="1076" t="s">
        <v>562</v>
      </c>
      <c r="C8" s="1077"/>
      <c r="D8" s="1078">
        <f>'Build.vs.No-Build'!F5</f>
        <v>177812159.16264874</v>
      </c>
      <c r="E8" s="1079">
        <f>'Build.vs.No-Build'!G5</f>
        <v>177951687.01386541</v>
      </c>
      <c r="F8" s="1079">
        <f>'Build.vs.No-Build'!H5</f>
        <v>178091324.35152757</v>
      </c>
      <c r="G8" s="1079">
        <f>'Build.vs.No-Build'!I5</f>
        <v>178231071.26154837</v>
      </c>
      <c r="H8" s="1079">
        <f>'Build.vs.No-Build'!J5</f>
        <v>178370927.82990837</v>
      </c>
      <c r="I8" s="1079">
        <f>'Build.vs.No-Build'!K5</f>
        <v>178510894.1426557</v>
      </c>
      <c r="J8" s="1079">
        <f>'Build.vs.No-Build'!L5</f>
        <v>178650970.28590593</v>
      </c>
      <c r="K8" s="1079">
        <f>'Build.vs.No-Build'!M5</f>
        <v>178791156.34584215</v>
      </c>
      <c r="L8" s="1079">
        <f>'Build.vs.No-Build'!N5</f>
        <v>178931452.40871525</v>
      </c>
      <c r="M8" s="1079">
        <f>'Build.vs.No-Build'!O5</f>
        <v>179071858.56084365</v>
      </c>
      <c r="N8" s="1079">
        <f>'Build.vs.No-Build'!P5</f>
        <v>179212374.88861361</v>
      </c>
      <c r="O8" s="1079">
        <f>'Build.vs.No-Build'!Q5</f>
        <v>179353001.47847897</v>
      </c>
      <c r="P8" s="1079">
        <f>'Build.vs.No-Build'!R5</f>
        <v>179493738.4169617</v>
      </c>
      <c r="Q8" s="1079">
        <f>'Build.vs.No-Build'!S5</f>
        <v>179634585.79065153</v>
      </c>
      <c r="R8" s="1079">
        <f>'Build.vs.No-Build'!T5</f>
        <v>179775543.68620604</v>
      </c>
      <c r="S8" s="1079">
        <f>'Build.vs.No-Build'!U5</f>
        <v>179916612.19035089</v>
      </c>
      <c r="T8" s="1079">
        <f>'Build.vs.No-Build'!V5</f>
        <v>180057791.38987991</v>
      </c>
      <c r="U8" s="1079">
        <f>'Build.vs.No-Build'!W5</f>
        <v>180199081.37165487</v>
      </c>
      <c r="V8" s="1079">
        <f>'Build.vs.No-Build'!X5</f>
        <v>180340482.22260574</v>
      </c>
      <c r="W8" s="1079">
        <f>'Build.vs.No-Build'!Y5</f>
        <v>180481994.02973074</v>
      </c>
      <c r="X8" s="1080">
        <f>'Build.vs.No-Build'!Z5</f>
        <v>180623616.88009629</v>
      </c>
      <c r="Y8" s="1075"/>
    </row>
    <row r="9" spans="2:26" ht="20.25" x14ac:dyDescent="0.25">
      <c r="B9" s="1076" t="s">
        <v>563</v>
      </c>
      <c r="C9" s="1077"/>
      <c r="D9" s="1078">
        <f>'Build.vs.No-Build'!F6</f>
        <v>108020089.30769104</v>
      </c>
      <c r="E9" s="1079">
        <f>'Build.vs.No-Build'!G6</f>
        <v>108917038.63514632</v>
      </c>
      <c r="F9" s="1079">
        <f>'Build.vs.No-Build'!H6</f>
        <v>109821435.81883998</v>
      </c>
      <c r="G9" s="1079">
        <f>'Build.vs.No-Build'!I6</f>
        <v>110733342.70235769</v>
      </c>
      <c r="H9" s="1079">
        <f>'Build.vs.No-Build'!J6</f>
        <v>111652821.6428059</v>
      </c>
      <c r="I9" s="1079">
        <f>'Build.vs.No-Build'!K6</f>
        <v>112579935.51507585</v>
      </c>
      <c r="J9" s="1079">
        <f>'Build.vs.No-Build'!L6</f>
        <v>113514747.7161431</v>
      </c>
      <c r="K9" s="1079">
        <f>'Build.vs.No-Build'!M6</f>
        <v>114457322.1694027</v>
      </c>
      <c r="L9" s="1079">
        <f>'Build.vs.No-Build'!N6</f>
        <v>115407723.32904024</v>
      </c>
      <c r="M9" s="1079">
        <f>'Build.vs.No-Build'!O6</f>
        <v>116366016.18443927</v>
      </c>
      <c r="N9" s="1079">
        <f>'Build.vs.No-Build'!P6</f>
        <v>117332266.26462553</v>
      </c>
      <c r="O9" s="1079">
        <f>'Build.vs.No-Build'!Q6</f>
        <v>118306539.64274769</v>
      </c>
      <c r="P9" s="1079">
        <f>'Build.vs.No-Build'!R6</f>
        <v>119288902.94059554</v>
      </c>
      <c r="Q9" s="1079">
        <f>'Build.vs.No-Build'!S6</f>
        <v>120279423.33315578</v>
      </c>
      <c r="R9" s="1079">
        <f>'Build.vs.No-Build'!T6</f>
        <v>121278168.55320533</v>
      </c>
      <c r="S9" s="1079">
        <f>'Build.vs.No-Build'!U6</f>
        <v>122285206.89594311</v>
      </c>
      <c r="T9" s="1079">
        <f>'Build.vs.No-Build'!V6</f>
        <v>123300607.22366008</v>
      </c>
      <c r="U9" s="1079">
        <f>'Build.vs.No-Build'!W6</f>
        <v>124324438.97044809</v>
      </c>
      <c r="V9" s="1079">
        <f>'Build.vs.No-Build'!X6</f>
        <v>125356772.14694786</v>
      </c>
      <c r="W9" s="1079">
        <f>'Build.vs.No-Build'!Y6</f>
        <v>126397677.34513642</v>
      </c>
      <c r="X9" s="1080">
        <f>'Build.vs.No-Build'!Z6</f>
        <v>127447225.74315426</v>
      </c>
      <c r="Y9" s="1075"/>
      <c r="Z9" s="1067"/>
    </row>
    <row r="10" spans="2:26" ht="20.25" x14ac:dyDescent="0.3">
      <c r="B10" s="1081" t="s">
        <v>564</v>
      </c>
      <c r="C10" s="1082"/>
      <c r="D10" s="1078">
        <f>'Build.vs.No-Build'!F7</f>
        <v>47512403.086307317</v>
      </c>
      <c r="E10" s="1079">
        <f>'Build.vs.No-Build'!G7</f>
        <v>47823729.657975234</v>
      </c>
      <c r="F10" s="1079">
        <f>'Build.vs.No-Build'!H7</f>
        <v>48137096.207163334</v>
      </c>
      <c r="G10" s="1079">
        <f>'Build.vs.No-Build'!I7</f>
        <v>48452516.100890905</v>
      </c>
      <c r="H10" s="1079">
        <f>'Build.vs.No-Build'!J7</f>
        <v>48770002.793765053</v>
      </c>
      <c r="I10" s="1079">
        <f>'Build.vs.No-Build'!K7</f>
        <v>49089569.8285546</v>
      </c>
      <c r="J10" s="1079">
        <f>'Build.vs.No-Build'!L7</f>
        <v>49411230.836767867</v>
      </c>
      <c r="K10" s="1079">
        <f>'Build.vs.No-Build'!M7</f>
        <v>49734999.539234027</v>
      </c>
      <c r="L10" s="1079">
        <f>'Build.vs.No-Build'!N7</f>
        <v>50060889.746688448</v>
      </c>
      <c r="M10" s="1079">
        <f>'Build.vs.No-Build'!O7</f>
        <v>50388915.360361814</v>
      </c>
      <c r="N10" s="1079">
        <f>'Build.vs.No-Build'!P7</f>
        <v>50719090.37257304</v>
      </c>
      <c r="O10" s="1079">
        <f>'Build.vs.No-Build'!Q7</f>
        <v>51051428.867326185</v>
      </c>
      <c r="P10" s="1079">
        <f>'Build.vs.No-Build'!R7</f>
        <v>51385945.020911202</v>
      </c>
      <c r="Q10" s="1079">
        <f>'Build.vs.No-Build'!S7</f>
        <v>51722653.102508679</v>
      </c>
      <c r="R10" s="1079">
        <f>'Build.vs.No-Build'!T7</f>
        <v>52061567.474798411</v>
      </c>
      <c r="S10" s="1079">
        <f>'Build.vs.No-Build'!U7</f>
        <v>52402702.594572172</v>
      </c>
      <c r="T10" s="1079">
        <f>'Build.vs.No-Build'!V7</f>
        <v>52746073.013350315</v>
      </c>
      <c r="U10" s="1079">
        <f>'Build.vs.No-Build'!W7</f>
        <v>53091693.378002509</v>
      </c>
      <c r="V10" s="1079">
        <f>'Build.vs.No-Build'!X7</f>
        <v>53439578.431372523</v>
      </c>
      <c r="W10" s="1079">
        <f>'Build.vs.No-Build'!Y7</f>
        <v>53789743.012907073</v>
      </c>
      <c r="X10" s="1080">
        <f>'Build.vs.No-Build'!Z7</f>
        <v>54142202.059288852</v>
      </c>
      <c r="Y10" s="1075"/>
    </row>
    <row r="11" spans="2:26" ht="21" thickBot="1" x14ac:dyDescent="0.35">
      <c r="B11" s="1081" t="s">
        <v>464</v>
      </c>
      <c r="C11" s="1082"/>
      <c r="D11" s="1083">
        <f>'Build.vs.No-Build'!F8</f>
        <v>661553123.09794545</v>
      </c>
      <c r="E11" s="1084">
        <f>'Build.vs.No-Build'!G8</f>
        <v>665659127.56078017</v>
      </c>
      <c r="F11" s="1084">
        <f>'Build.vs.No-Build'!H8</f>
        <v>669797908.73079419</v>
      </c>
      <c r="G11" s="1084">
        <f>'Build.vs.No-Build'!I8</f>
        <v>673969736.69960451</v>
      </c>
      <c r="H11" s="1084">
        <f>'Build.vs.No-Build'!J8</f>
        <v>678174883.79702461</v>
      </c>
      <c r="I11" s="1084">
        <f>'Build.vs.No-Build'!K8</f>
        <v>682413624.60965955</v>
      </c>
      <c r="J11" s="1084">
        <f>'Build.vs.No-Build'!L8</f>
        <v>686686235.99965656</v>
      </c>
      <c r="K11" s="1084">
        <f>'Build.vs.No-Build'!M8</f>
        <v>690992997.1236099</v>
      </c>
      <c r="L11" s="1084">
        <f>'Build.vs.No-Build'!N8</f>
        <v>695334189.45162582</v>
      </c>
      <c r="M11" s="1084">
        <f>'Build.vs.No-Build'!O8</f>
        <v>699710096.78654349</v>
      </c>
      <c r="N11" s="1084">
        <f>'Build.vs.No-Build'!P8</f>
        <v>704121005.2833178</v>
      </c>
      <c r="O11" s="1084">
        <f>'Build.vs.No-Build'!Q8</f>
        <v>708567203.46856225</v>
      </c>
      <c r="P11" s="1084">
        <f>'Build.vs.No-Build'!R8</f>
        <v>713048982.26025617</v>
      </c>
      <c r="Q11" s="1084">
        <f>'Build.vs.No-Build'!S8</f>
        <v>717566634.98761344</v>
      </c>
      <c r="R11" s="1084">
        <f>'Build.vs.No-Build'!T8</f>
        <v>722120457.41111934</v>
      </c>
      <c r="S11" s="1084">
        <f>'Build.vs.No-Build'!U8</f>
        <v>726710747.74273169</v>
      </c>
      <c r="T11" s="1084">
        <f>'Build.vs.No-Build'!V8</f>
        <v>731337806.66625369</v>
      </c>
      <c r="U11" s="1084">
        <f>'Build.vs.No-Build'!W8</f>
        <v>736001937.35787117</v>
      </c>
      <c r="V11" s="1084">
        <f>'Build.vs.No-Build'!X8</f>
        <v>740703445.50686574</v>
      </c>
      <c r="W11" s="1084">
        <f>'Build.vs.No-Build'!Y8</f>
        <v>745442639.3364979</v>
      </c>
      <c r="X11" s="1085">
        <f>'Build.vs.No-Build'!Z8</f>
        <v>750219829.62506425</v>
      </c>
      <c r="Y11" s="1075"/>
    </row>
    <row r="12" spans="2:26" ht="20.25" x14ac:dyDescent="0.25">
      <c r="B12" s="1065"/>
      <c r="C12" s="1086"/>
      <c r="D12" s="1067"/>
      <c r="E12" s="1067"/>
      <c r="F12" s="1067"/>
      <c r="G12" s="1067"/>
      <c r="H12" s="1067"/>
      <c r="I12" s="1067"/>
      <c r="J12" s="1067"/>
      <c r="K12" s="1067"/>
      <c r="L12" s="1067"/>
      <c r="M12" s="1067"/>
      <c r="N12" s="1067"/>
      <c r="O12" s="1067"/>
      <c r="P12" s="1067"/>
      <c r="Q12" s="1067"/>
      <c r="R12" s="1067"/>
      <c r="S12" s="1067"/>
      <c r="T12" s="1067"/>
      <c r="U12" s="1067"/>
      <c r="V12" s="1067"/>
      <c r="W12" s="1067"/>
      <c r="X12" s="1067"/>
    </row>
    <row r="13" spans="2:26" ht="20.25" x14ac:dyDescent="0.25">
      <c r="B13" s="1065"/>
      <c r="C13" s="1086"/>
      <c r="D13" s="1067"/>
      <c r="E13" s="1067"/>
      <c r="F13" s="1067"/>
      <c r="G13" s="1067"/>
      <c r="H13" s="1067"/>
      <c r="I13" s="1067"/>
      <c r="J13" s="1067"/>
      <c r="K13" s="1067"/>
      <c r="L13" s="1067"/>
      <c r="M13" s="1067"/>
      <c r="N13" s="1067"/>
      <c r="O13" s="1067"/>
      <c r="P13" s="1067"/>
      <c r="Q13" s="1067"/>
      <c r="R13" s="1067"/>
      <c r="S13" s="1067"/>
      <c r="T13" s="1067"/>
      <c r="U13" s="1067"/>
      <c r="V13" s="1067"/>
      <c r="W13" s="1067"/>
      <c r="X13" s="1067"/>
    </row>
    <row r="14" spans="2:26" ht="24" thickBot="1" x14ac:dyDescent="0.3">
      <c r="B14" s="1065"/>
      <c r="D14" s="1844" t="s">
        <v>493</v>
      </c>
      <c r="E14" s="1844"/>
      <c r="F14" s="1844"/>
      <c r="G14" s="1844"/>
      <c r="H14" s="1844"/>
      <c r="I14" s="1844"/>
      <c r="J14" s="1844"/>
      <c r="K14" s="1844"/>
      <c r="L14" s="1844"/>
      <c r="M14" s="1844"/>
      <c r="N14" s="1844"/>
      <c r="O14" s="1844"/>
      <c r="P14" s="1844"/>
      <c r="Q14" s="1844"/>
      <c r="R14" s="1844"/>
      <c r="S14" s="1844"/>
      <c r="T14" s="1844"/>
      <c r="U14" s="1844"/>
      <c r="V14" s="1844"/>
      <c r="W14" s="1844"/>
      <c r="X14" s="1844"/>
    </row>
    <row r="15" spans="2:26" ht="21" thickBot="1" x14ac:dyDescent="0.3">
      <c r="B15" s="1068"/>
      <c r="C15" s="1069"/>
      <c r="D15" s="719">
        <v>2023</v>
      </c>
      <c r="E15" s="717">
        <f>D15+1</f>
        <v>2024</v>
      </c>
      <c r="F15" s="717">
        <f t="shared" ref="F15" si="1">E15+1</f>
        <v>2025</v>
      </c>
      <c r="G15" s="717">
        <f t="shared" ref="G15" si="2">F15+1</f>
        <v>2026</v>
      </c>
      <c r="H15" s="717">
        <f t="shared" ref="H15" si="3">G15+1</f>
        <v>2027</v>
      </c>
      <c r="I15" s="717">
        <f t="shared" ref="I15" si="4">H15+1</f>
        <v>2028</v>
      </c>
      <c r="J15" s="717">
        <f t="shared" ref="J15" si="5">I15+1</f>
        <v>2029</v>
      </c>
      <c r="K15" s="717">
        <f t="shared" ref="K15" si="6">J15+1</f>
        <v>2030</v>
      </c>
      <c r="L15" s="717">
        <f t="shared" ref="L15" si="7">K15+1</f>
        <v>2031</v>
      </c>
      <c r="M15" s="717">
        <f t="shared" ref="M15" si="8">L15+1</f>
        <v>2032</v>
      </c>
      <c r="N15" s="717">
        <f t="shared" ref="N15" si="9">M15+1</f>
        <v>2033</v>
      </c>
      <c r="O15" s="717">
        <f t="shared" ref="O15" si="10">N15+1</f>
        <v>2034</v>
      </c>
      <c r="P15" s="717">
        <f t="shared" ref="P15" si="11">O15+1</f>
        <v>2035</v>
      </c>
      <c r="Q15" s="717">
        <f t="shared" ref="Q15" si="12">P15+1</f>
        <v>2036</v>
      </c>
      <c r="R15" s="717">
        <f t="shared" ref="R15" si="13">Q15+1</f>
        <v>2037</v>
      </c>
      <c r="S15" s="717">
        <f t="shared" ref="S15" si="14">R15+1</f>
        <v>2038</v>
      </c>
      <c r="T15" s="717">
        <f t="shared" ref="T15" si="15">S15+1</f>
        <v>2039</v>
      </c>
      <c r="U15" s="717">
        <f t="shared" ref="U15" si="16">T15+1</f>
        <v>2040</v>
      </c>
      <c r="V15" s="717">
        <f t="shared" ref="V15" si="17">U15+1</f>
        <v>2041</v>
      </c>
      <c r="W15" s="717">
        <f t="shared" ref="W15" si="18">V15+1</f>
        <v>2042</v>
      </c>
      <c r="X15" s="718">
        <f t="shared" ref="X15" si="19">W15+1</f>
        <v>2043</v>
      </c>
    </row>
    <row r="16" spans="2:26" ht="20.25" x14ac:dyDescent="0.25">
      <c r="B16" s="1070" t="s">
        <v>561</v>
      </c>
      <c r="C16" s="1071"/>
      <c r="D16" s="1073">
        <f>'Build.vs.No-Build'!F37</f>
        <v>379448813.98219019</v>
      </c>
      <c r="E16" s="1073">
        <f>'Build.vs.No-Build'!G37</f>
        <v>383417061.16706127</v>
      </c>
      <c r="F16" s="1073">
        <f>'Build.vs.No-Build'!H37</f>
        <v>387426807.98281795</v>
      </c>
      <c r="G16" s="1073">
        <f>'Build.vs.No-Build'!I37</f>
        <v>391478488.42948186</v>
      </c>
      <c r="H16" s="1073">
        <f>'Build.vs.No-Build'!J37</f>
        <v>395572541.04581386</v>
      </c>
      <c r="I16" s="1073">
        <f>'Build.vs.No-Build'!K37</f>
        <v>399709408.95678085</v>
      </c>
      <c r="J16" s="1073">
        <f>'Build.vs.No-Build'!L37</f>
        <v>403889539.9215166</v>
      </c>
      <c r="K16" s="1073">
        <f>'Build.vs.No-Build'!M37</f>
        <v>408113386.38178694</v>
      </c>
      <c r="L16" s="1073">
        <f>'Build.vs.No-Build'!N37</f>
        <v>412381405.51095927</v>
      </c>
      <c r="M16" s="1073">
        <f>'Build.vs.No-Build'!O37</f>
        <v>416694059.26348585</v>
      </c>
      <c r="N16" s="1073">
        <f>'Build.vs.No-Build'!P37</f>
        <v>421051814.42490387</v>
      </c>
      <c r="O16" s="1073">
        <f>'Build.vs.No-Build'!Q37</f>
        <v>425455142.66235864</v>
      </c>
      <c r="P16" s="1073">
        <f>'Build.vs.No-Build'!R37</f>
        <v>429904520.57565498</v>
      </c>
      <c r="Q16" s="1073">
        <f>'Build.vs.No-Build'!S37</f>
        <v>434400429.74884272</v>
      </c>
      <c r="R16" s="1073">
        <f>'Build.vs.No-Build'!T37</f>
        <v>438943356.80234122</v>
      </c>
      <c r="S16" s="1073">
        <f>'Build.vs.No-Build'!U37</f>
        <v>443533793.44561011</v>
      </c>
      <c r="T16" s="1073">
        <f>'Build.vs.No-Build'!V37</f>
        <v>448172236.53036928</v>
      </c>
      <c r="U16" s="1073">
        <f>'Build.vs.No-Build'!W37</f>
        <v>452859188.10437661</v>
      </c>
      <c r="V16" s="1073">
        <f>'Build.vs.No-Build'!X37</f>
        <v>457595155.46576762</v>
      </c>
      <c r="W16" s="1073">
        <f>'Build.vs.No-Build'!Y37</f>
        <v>462380651.21796399</v>
      </c>
      <c r="X16" s="1073">
        <f>'Build.vs.No-Build'!Z37</f>
        <v>467216193.32515496</v>
      </c>
      <c r="Y16" s="1075"/>
    </row>
    <row r="17" spans="1:26" ht="20.25" x14ac:dyDescent="0.25">
      <c r="B17" s="1076" t="s">
        <v>562</v>
      </c>
      <c r="C17" s="1077"/>
      <c r="D17" s="1079">
        <f>'Build.vs.No-Build'!F38</f>
        <v>205981376.3284108</v>
      </c>
      <c r="E17" s="1079">
        <f>'Build.vs.No-Build'!G38</f>
        <v>206544196.519658</v>
      </c>
      <c r="F17" s="1079">
        <f>'Build.vs.No-Build'!H38</f>
        <v>207108554.55172035</v>
      </c>
      <c r="G17" s="1079">
        <f>'Build.vs.No-Build'!I38</f>
        <v>207674454.62656927</v>
      </c>
      <c r="H17" s="1079">
        <f>'Build.vs.No-Build'!J38</f>
        <v>208241900.95765764</v>
      </c>
      <c r="I17" s="1079">
        <f>'Build.vs.No-Build'!K38</f>
        <v>208810897.76995102</v>
      </c>
      <c r="J17" s="1079">
        <f>'Build.vs.No-Build'!L38</f>
        <v>209381449.2999593</v>
      </c>
      <c r="K17" s="1079">
        <f>'Build.vs.No-Build'!M38</f>
        <v>209953559.79576808</v>
      </c>
      <c r="L17" s="1079">
        <f>'Build.vs.No-Build'!N38</f>
        <v>210527233.51707035</v>
      </c>
      <c r="M17" s="1079">
        <f>'Build.vs.No-Build'!O38</f>
        <v>211102474.73519826</v>
      </c>
      <c r="N17" s="1079">
        <f>'Build.vs.No-Build'!P38</f>
        <v>211679287.73315492</v>
      </c>
      <c r="O17" s="1079">
        <f>'Build.vs.No-Build'!Q38</f>
        <v>212257676.80564606</v>
      </c>
      <c r="P17" s="1079">
        <f>'Build.vs.No-Build'!R38</f>
        <v>212837646.25911251</v>
      </c>
      <c r="Q17" s="1079">
        <f>'Build.vs.No-Build'!S38</f>
        <v>213419200.41176152</v>
      </c>
      <c r="R17" s="1079">
        <f>'Build.vs.No-Build'!T38</f>
        <v>214002343.59359983</v>
      </c>
      <c r="S17" s="1079">
        <f>'Build.vs.No-Build'!U38</f>
        <v>214587080.14646497</v>
      </c>
      <c r="T17" s="1079">
        <f>'Build.vs.No-Build'!V38</f>
        <v>215173414.42405835</v>
      </c>
      <c r="U17" s="1079">
        <f>'Build.vs.No-Build'!W38</f>
        <v>215761350.79197726</v>
      </c>
      <c r="V17" s="1079">
        <f>'Build.vs.No-Build'!X38</f>
        <v>216350893.62774748</v>
      </c>
      <c r="W17" s="1079">
        <f>'Build.vs.No-Build'!Y38</f>
        <v>216942047.32085577</v>
      </c>
      <c r="X17" s="1079">
        <f>'Build.vs.No-Build'!Z38</f>
        <v>217534816.27278283</v>
      </c>
      <c r="Y17" s="1075"/>
    </row>
    <row r="18" spans="1:26" ht="20.25" x14ac:dyDescent="0.25">
      <c r="B18" s="1076" t="s">
        <v>563</v>
      </c>
      <c r="C18" s="1077"/>
      <c r="D18" s="1079">
        <f>'Build.vs.No-Build'!F39</f>
        <v>124894315.15420036</v>
      </c>
      <c r="E18" s="1079">
        <f>'Build.vs.No-Build'!G39</f>
        <v>126188184.48332641</v>
      </c>
      <c r="F18" s="1079">
        <f>'Build.vs.No-Build'!H39</f>
        <v>127495457.9280744</v>
      </c>
      <c r="G18" s="1079">
        <f>'Build.vs.No-Build'!I39</f>
        <v>128816274.35124263</v>
      </c>
      <c r="H18" s="1079">
        <f>'Build.vs.No-Build'!J39</f>
        <v>130150774.05420808</v>
      </c>
      <c r="I18" s="1079">
        <f>'Build.vs.No-Build'!K39</f>
        <v>131499098.79182999</v>
      </c>
      <c r="J18" s="1079">
        <f>'Build.vs.No-Build'!L39</f>
        <v>132861391.78750716</v>
      </c>
      <c r="K18" s="1079">
        <f>'Build.vs.No-Build'!M39</f>
        <v>134237797.74839184</v>
      </c>
      <c r="L18" s="1079">
        <f>'Build.vs.No-Build'!N39</f>
        <v>135628462.88076097</v>
      </c>
      <c r="M18" s="1079">
        <f>'Build.vs.No-Build'!O39</f>
        <v>137033534.90554661</v>
      </c>
      <c r="N18" s="1079">
        <f>'Build.vs.No-Build'!P39</f>
        <v>138453163.0740273</v>
      </c>
      <c r="O18" s="1079">
        <f>'Build.vs.No-Build'!Q39</f>
        <v>139887498.18368214</v>
      </c>
      <c r="P18" s="1079">
        <f>'Build.vs.No-Build'!R39</f>
        <v>141336692.59420896</v>
      </c>
      <c r="Q18" s="1079">
        <f>'Build.vs.No-Build'!S39</f>
        <v>142800900.24370831</v>
      </c>
      <c r="R18" s="1079">
        <f>'Build.vs.No-Build'!T39</f>
        <v>144280276.66503546</v>
      </c>
      <c r="S18" s="1079">
        <f>'Build.vs.No-Build'!U39</f>
        <v>145774979.00232136</v>
      </c>
      <c r="T18" s="1079">
        <f>'Build.vs.No-Build'!V39</f>
        <v>147285166.02766532</v>
      </c>
      <c r="U18" s="1079">
        <f>'Build.vs.No-Build'!W39</f>
        <v>148810998.15800005</v>
      </c>
      <c r="V18" s="1079">
        <f>'Build.vs.No-Build'!X39</f>
        <v>150352637.47213176</v>
      </c>
      <c r="W18" s="1079">
        <f>'Build.vs.No-Build'!Y39</f>
        <v>151910247.72795659</v>
      </c>
      <c r="X18" s="1079">
        <f>'Build.vs.No-Build'!Z39</f>
        <v>153483994.37985557</v>
      </c>
      <c r="Y18" s="1075"/>
      <c r="Z18" s="1067"/>
    </row>
    <row r="19" spans="1:26" ht="20.25" x14ac:dyDescent="0.3">
      <c r="B19" s="1081" t="s">
        <v>564</v>
      </c>
      <c r="C19" s="1082"/>
      <c r="D19" s="1079">
        <f>'Build.vs.No-Build'!F40</f>
        <v>43316911.764705881</v>
      </c>
      <c r="E19" s="1079">
        <f>'Build.vs.No-Build'!G40</f>
        <v>44290358.775713623</v>
      </c>
      <c r="F19" s="1079">
        <f>'Build.vs.No-Build'!H40</f>
        <v>45285681.747971497</v>
      </c>
      <c r="G19" s="1079">
        <f>'Build.vs.No-Build'!I40</f>
        <v>46303372.292913094</v>
      </c>
      <c r="H19" s="1079">
        <f>'Build.vs.No-Build'!J40</f>
        <v>47343933.069797494</v>
      </c>
      <c r="I19" s="1079">
        <f>'Build.vs.No-Build'!K40</f>
        <v>48407878.033983424</v>
      </c>
      <c r="J19" s="1079">
        <f>'Build.vs.No-Build'!L40</f>
        <v>49495732.690782927</v>
      </c>
      <c r="K19" s="1079">
        <f>'Build.vs.No-Build'!M40</f>
        <v>50608034.355019726</v>
      </c>
      <c r="L19" s="1079">
        <f>'Build.vs.No-Build'!N40</f>
        <v>51745332.416420579</v>
      </c>
      <c r="M19" s="1079">
        <f>'Build.vs.No-Build'!O40</f>
        <v>52908188.610970639</v>
      </c>
      <c r="N19" s="1079">
        <f>'Build.vs.No-Build'!P40</f>
        <v>54097177.298367038</v>
      </c>
      <c r="O19" s="1079">
        <f>'Build.vs.No-Build'!Q40</f>
        <v>55312885.74570743</v>
      </c>
      <c r="P19" s="1079">
        <f>'Build.vs.No-Build'!R40</f>
        <v>56555914.417553887</v>
      </c>
      <c r="Q19" s="1079">
        <f>'Build.vs.No-Build'!S40</f>
        <v>57826877.272515193</v>
      </c>
      <c r="R19" s="1079">
        <f>'Build.vs.No-Build'!T40</f>
        <v>59126402.066494316</v>
      </c>
      <c r="S19" s="1079">
        <f>'Build.vs.No-Build'!U40</f>
        <v>60455130.662750512</v>
      </c>
      <c r="T19" s="1079">
        <f>'Build.vs.No-Build'!V40</f>
        <v>61813719.348929383</v>
      </c>
      <c r="U19" s="1079">
        <f>'Build.vs.No-Build'!W40</f>
        <v>63202839.161217436</v>
      </c>
      <c r="V19" s="1079">
        <f>'Build.vs.No-Build'!X40</f>
        <v>64623176.21578142</v>
      </c>
      <c r="W19" s="1079">
        <f>'Build.vs.No-Build'!Y40</f>
        <v>66075432.047655731</v>
      </c>
      <c r="X19" s="1079">
        <f>'Build.vs.No-Build'!Z40</f>
        <v>67560323.957245752</v>
      </c>
      <c r="Y19" s="1075"/>
    </row>
    <row r="20" spans="1:26" ht="21" thickBot="1" x14ac:dyDescent="0.35">
      <c r="B20" s="1081" t="s">
        <v>464</v>
      </c>
      <c r="C20" s="1082"/>
      <c r="D20" s="1084">
        <f>'Build.vs.No-Build'!F41</f>
        <v>753641417.22950721</v>
      </c>
      <c r="E20" s="1084">
        <f>'Build.vs.No-Build'!G41</f>
        <v>760439800.9457593</v>
      </c>
      <c r="F20" s="1084">
        <f>'Build.vs.No-Build'!H41</f>
        <v>767316502.21058416</v>
      </c>
      <c r="G20" s="1084">
        <f>'Build.vs.No-Build'!I41</f>
        <v>774272589.70020688</v>
      </c>
      <c r="H20" s="1084">
        <f>'Build.vs.No-Build'!J41</f>
        <v>781309149.12747705</v>
      </c>
      <c r="I20" s="1084">
        <f>'Build.vs.No-Build'!K41</f>
        <v>788427283.55254531</v>
      </c>
      <c r="J20" s="1084">
        <f>'Build.vs.No-Build'!L41</f>
        <v>795628113.69976592</v>
      </c>
      <c r="K20" s="1084">
        <f>'Build.vs.No-Build'!M41</f>
        <v>802912778.28096664</v>
      </c>
      <c r="L20" s="1084">
        <f>'Build.vs.No-Build'!N41</f>
        <v>810282434.32521117</v>
      </c>
      <c r="M20" s="1084">
        <f>'Build.vs.No-Build'!O41</f>
        <v>817738257.51520145</v>
      </c>
      <c r="N20" s="1084">
        <f>'Build.vs.No-Build'!P41</f>
        <v>825281442.53045309</v>
      </c>
      <c r="O20" s="1084">
        <f>'Build.vs.No-Build'!Q41</f>
        <v>832913203.3973943</v>
      </c>
      <c r="P20" s="1084">
        <f>'Build.vs.No-Build'!R41</f>
        <v>840634773.84653032</v>
      </c>
      <c r="Q20" s="1084">
        <f>'Build.vs.No-Build'!S41</f>
        <v>848447407.67682779</v>
      </c>
      <c r="R20" s="1084">
        <f>'Build.vs.No-Build'!T41</f>
        <v>856352379.12747085</v>
      </c>
      <c r="S20" s="1084">
        <f>'Build.vs.No-Build'!U41</f>
        <v>864350983.25714695</v>
      </c>
      <c r="T20" s="1084">
        <f>'Build.vs.No-Build'!V41</f>
        <v>872444536.33102226</v>
      </c>
      <c r="U20" s="1084">
        <f>'Build.vs.No-Build'!W41</f>
        <v>880634376.2155714</v>
      </c>
      <c r="V20" s="1084">
        <f>'Build.vs.No-Build'!X41</f>
        <v>888921862.78142834</v>
      </c>
      <c r="W20" s="1084">
        <f>'Build.vs.No-Build'!Y41</f>
        <v>897308378.31443202</v>
      </c>
      <c r="X20" s="1084">
        <f>'Build.vs.No-Build'!Z41</f>
        <v>905795327.93503916</v>
      </c>
      <c r="Y20" s="1075"/>
    </row>
    <row r="21" spans="1:26" ht="20.25" x14ac:dyDescent="0.25">
      <c r="B21" s="1065"/>
      <c r="C21" s="1086"/>
      <c r="D21" s="1067"/>
      <c r="E21" s="1067"/>
      <c r="F21" s="1067"/>
      <c r="G21" s="1067"/>
      <c r="H21" s="1067"/>
      <c r="I21" s="1067"/>
      <c r="J21" s="1067"/>
      <c r="K21" s="1067"/>
      <c r="L21" s="1067"/>
      <c r="M21" s="1067"/>
      <c r="N21" s="1067"/>
      <c r="O21" s="1067"/>
      <c r="P21" s="1067"/>
      <c r="Q21" s="1067"/>
      <c r="R21" s="1067"/>
      <c r="S21" s="1067"/>
      <c r="T21" s="1067"/>
      <c r="U21" s="1067"/>
      <c r="V21" s="1067"/>
      <c r="W21" s="1067"/>
      <c r="X21" s="1067"/>
    </row>
    <row r="22" spans="1:26" ht="20.25" x14ac:dyDescent="0.25">
      <c r="B22" s="1065"/>
      <c r="C22" s="1086"/>
      <c r="D22" s="1067"/>
      <c r="E22" s="1067"/>
      <c r="F22" s="1067"/>
      <c r="G22" s="1067"/>
      <c r="H22" s="1067"/>
      <c r="I22" s="1067"/>
      <c r="J22" s="1067"/>
      <c r="K22" s="1067"/>
      <c r="L22" s="1067"/>
      <c r="M22" s="1067"/>
      <c r="N22" s="1067"/>
      <c r="O22" s="1067"/>
      <c r="P22" s="1067"/>
      <c r="Q22" s="1067"/>
      <c r="R22" s="1067"/>
      <c r="S22" s="1067"/>
      <c r="T22" s="1067"/>
      <c r="U22" s="1067"/>
      <c r="V22" s="1067"/>
      <c r="W22" s="1067"/>
      <c r="X22" s="1067"/>
    </row>
    <row r="23" spans="1:26" s="1066" customFormat="1" ht="21" customHeight="1" thickBot="1" x14ac:dyDescent="0.3">
      <c r="A23" s="1064"/>
      <c r="B23" s="1065"/>
      <c r="D23" s="1844" t="s">
        <v>310</v>
      </c>
      <c r="E23" s="1844"/>
      <c r="F23" s="1844"/>
      <c r="G23" s="1844"/>
      <c r="H23" s="1844"/>
      <c r="I23" s="1844"/>
      <c r="J23" s="1844"/>
      <c r="K23" s="1844"/>
      <c r="L23" s="1844"/>
      <c r="M23" s="1844"/>
      <c r="N23" s="1844"/>
      <c r="O23" s="1844"/>
      <c r="P23" s="1844"/>
      <c r="Q23" s="1844"/>
      <c r="R23" s="1844"/>
      <c r="S23" s="1844"/>
      <c r="T23" s="1844"/>
      <c r="U23" s="1844"/>
      <c r="V23" s="1844"/>
      <c r="W23" s="1844"/>
      <c r="X23" s="1844"/>
    </row>
    <row r="24" spans="1:26" s="1066" customFormat="1" ht="21" customHeight="1" thickBot="1" x14ac:dyDescent="0.35">
      <c r="A24" s="1064"/>
      <c r="B24" s="1087"/>
      <c r="C24" s="1088"/>
      <c r="D24" s="719">
        <v>2023</v>
      </c>
      <c r="E24" s="717">
        <f>D24+1</f>
        <v>2024</v>
      </c>
      <c r="F24" s="717">
        <f t="shared" ref="F24" si="20">E24+1</f>
        <v>2025</v>
      </c>
      <c r="G24" s="717">
        <f t="shared" ref="G24" si="21">F24+1</f>
        <v>2026</v>
      </c>
      <c r="H24" s="717">
        <f t="shared" ref="H24" si="22">G24+1</f>
        <v>2027</v>
      </c>
      <c r="I24" s="717">
        <f t="shared" ref="I24" si="23">H24+1</f>
        <v>2028</v>
      </c>
      <c r="J24" s="717">
        <f t="shared" ref="J24" si="24">I24+1</f>
        <v>2029</v>
      </c>
      <c r="K24" s="717">
        <f t="shared" ref="K24" si="25">J24+1</f>
        <v>2030</v>
      </c>
      <c r="L24" s="717">
        <f t="shared" ref="L24" si="26">K24+1</f>
        <v>2031</v>
      </c>
      <c r="M24" s="717">
        <f t="shared" ref="M24" si="27">L24+1</f>
        <v>2032</v>
      </c>
      <c r="N24" s="717">
        <f t="shared" ref="N24" si="28">M24+1</f>
        <v>2033</v>
      </c>
      <c r="O24" s="717">
        <f t="shared" ref="O24" si="29">N24+1</f>
        <v>2034</v>
      </c>
      <c r="P24" s="717">
        <f t="shared" ref="P24" si="30">O24+1</f>
        <v>2035</v>
      </c>
      <c r="Q24" s="717">
        <f t="shared" ref="Q24" si="31">P24+1</f>
        <v>2036</v>
      </c>
      <c r="R24" s="717">
        <f t="shared" ref="R24" si="32">Q24+1</f>
        <v>2037</v>
      </c>
      <c r="S24" s="717">
        <f t="shared" ref="S24" si="33">R24+1</f>
        <v>2038</v>
      </c>
      <c r="T24" s="717">
        <f t="shared" ref="T24" si="34">S24+1</f>
        <v>2039</v>
      </c>
      <c r="U24" s="717">
        <f t="shared" ref="U24" si="35">T24+1</f>
        <v>2040</v>
      </c>
      <c r="V24" s="717">
        <f t="shared" ref="V24" si="36">U24+1</f>
        <v>2041</v>
      </c>
      <c r="W24" s="717">
        <f t="shared" ref="W24" si="37">V24+1</f>
        <v>2042</v>
      </c>
      <c r="X24" s="718">
        <f t="shared" ref="X24" si="38">W24+1</f>
        <v>2043</v>
      </c>
    </row>
    <row r="25" spans="1:26" s="1066" customFormat="1" ht="21" customHeight="1" x14ac:dyDescent="0.25">
      <c r="A25" s="1064"/>
      <c r="B25" s="1070" t="s">
        <v>573</v>
      </c>
      <c r="C25" s="1071"/>
      <c r="D25" s="1073">
        <f>'Build.vs.No-Build'!F29</f>
        <v>38.821431834891619</v>
      </c>
      <c r="E25" s="1073">
        <f>'Build.vs.No-Build'!G29</f>
        <v>37.620172434593442</v>
      </c>
      <c r="F25" s="1073">
        <f>'Build.vs.No-Build'!H29</f>
        <v>36.456083846359647</v>
      </c>
      <c r="G25" s="1073">
        <f>'Build.vs.No-Build'!I29</f>
        <v>35.328015886250618</v>
      </c>
      <c r="H25" s="1073">
        <f>'Build.vs.No-Build'!J29</f>
        <v>34.234853960700534</v>
      </c>
      <c r="I25" s="1073">
        <f>'Build.vs.No-Build'!K29</f>
        <v>33.175517965237198</v>
      </c>
      <c r="J25" s="1073">
        <f>'Build.vs.No-Build'!L29</f>
        <v>32.14896121727913</v>
      </c>
      <c r="K25" s="1073">
        <f>'Build.vs.No-Build'!M29</f>
        <v>31.154169421955189</v>
      </c>
      <c r="L25" s="1073">
        <f>'Build.vs.No-Build'!N29</f>
        <v>30.190159669925134</v>
      </c>
      <c r="M25" s="1073">
        <f>'Build.vs.No-Build'!O29</f>
        <v>29.255979466210821</v>
      </c>
      <c r="N25" s="1073">
        <f>'Build.vs.No-Build'!P29</f>
        <v>28.350705789078447</v>
      </c>
      <c r="O25" s="1073">
        <f>'Build.vs.No-Build'!Q29</f>
        <v>27.473444178042008</v>
      </c>
      <c r="P25" s="1073">
        <f>'Build.vs.No-Build'!R29</f>
        <v>26.623327850086827</v>
      </c>
      <c r="Q25" s="1073">
        <f>'Build.vs.No-Build'!S29</f>
        <v>25.799516843240017</v>
      </c>
      <c r="R25" s="1073">
        <f>'Build.vs.No-Build'!T29</f>
        <v>25.001197186641512</v>
      </c>
      <c r="S25" s="1073">
        <f>'Build.vs.No-Build'!U29</f>
        <v>24.227580096295849</v>
      </c>
      <c r="T25" s="1073">
        <f>'Build.vs.No-Build'!V29</f>
        <v>23.477901195709936</v>
      </c>
      <c r="U25" s="1073">
        <f>'Build.vs.No-Build'!W29</f>
        <v>22.751419760646787</v>
      </c>
      <c r="V25" s="1073">
        <f>'Build.vs.No-Build'!X29</f>
        <v>22.047417987248956</v>
      </c>
      <c r="W25" s="1073">
        <f>'Build.vs.No-Build'!Y29</f>
        <v>21.365200282808644</v>
      </c>
      <c r="X25" s="1073">
        <f>'Build.vs.No-Build'!Z29</f>
        <v>20.704092578483582</v>
      </c>
    </row>
    <row r="26" spans="1:26" s="1066" customFormat="1" ht="21" customHeight="1" x14ac:dyDescent="0.25">
      <c r="A26" s="1064"/>
      <c r="B26" s="1076" t="s">
        <v>574</v>
      </c>
      <c r="C26" s="1077"/>
      <c r="D26" s="1079">
        <f>'Build.vs.No-Build'!F30</f>
        <v>38.796321414879486</v>
      </c>
      <c r="E26" s="1079">
        <f>'Build.vs.No-Build'!G30</f>
        <v>37.596936648117925</v>
      </c>
      <c r="F26" s="1079">
        <f>'Build.vs.No-Build'!H30</f>
        <v>36.434630752916291</v>
      </c>
      <c r="G26" s="1079">
        <f>'Build.vs.No-Build'!I30</f>
        <v>35.308257439314701</v>
      </c>
      <c r="H26" s="1079">
        <f>'Build.vs.No-Build'!J30</f>
        <v>34.216705854803713</v>
      </c>
      <c r="I26" s="1079">
        <f>'Build.vs.No-Build'!K30</f>
        <v>33.158899488778687</v>
      </c>
      <c r="J26" s="1079">
        <f>'Build.vs.No-Build'!L30</f>
        <v>32.133795110862955</v>
      </c>
      <c r="K26" s="1079">
        <f>'Build.vs.No-Build'!M30</f>
        <v>31.140381742052565</v>
      </c>
      <c r="L26" s="1079">
        <f>'Build.vs.No-Build'!N30</f>
        <v>30.177679657668012</v>
      </c>
      <c r="M26" s="1079">
        <f>'Build.vs.No-Build'!O30</f>
        <v>29.244739421129619</v>
      </c>
      <c r="N26" s="1079">
        <f>'Build.vs.No-Build'!P30</f>
        <v>28.340640947603696</v>
      </c>
      <c r="O26" s="1079">
        <f>'Build.vs.No-Build'!Q30</f>
        <v>27.4644925965959</v>
      </c>
      <c r="P26" s="1079">
        <f>'Build.vs.No-Build'!R30</f>
        <v>26.615430292597175</v>
      </c>
      <c r="Q26" s="1079">
        <f>'Build.vs.No-Build'!S30</f>
        <v>25.792616672914615</v>
      </c>
      <c r="R26" s="1079">
        <f>'Build.vs.No-Build'!T30</f>
        <v>24.995240261847211</v>
      </c>
      <c r="S26" s="1079">
        <f>'Build.vs.No-Build'!U30</f>
        <v>24.222514670391853</v>
      </c>
      <c r="T26" s="1079">
        <f>'Build.vs.No-Build'!V30</f>
        <v>23.47367782069033</v>
      </c>
      <c r="U26" s="1079">
        <f>'Build.vs.No-Build'!W30</f>
        <v>22.747991194452442</v>
      </c>
      <c r="V26" s="1079">
        <f>'Build.vs.No-Build'!X30</f>
        <v>22.044739104614148</v>
      </c>
      <c r="W26" s="1079">
        <f>'Build.vs.No-Build'!Y30</f>
        <v>21.363227989512222</v>
      </c>
      <c r="X26" s="1079">
        <f>'Build.vs.No-Build'!Z30</f>
        <v>20.70278572887954</v>
      </c>
    </row>
    <row r="27" spans="1:26" s="1066" customFormat="1" ht="21" customHeight="1" x14ac:dyDescent="0.25">
      <c r="A27" s="1064"/>
      <c r="B27" s="1076" t="s">
        <v>575</v>
      </c>
      <c r="C27" s="1077"/>
      <c r="D27" s="1079">
        <f>'Build.vs.No-Build'!F31</f>
        <v>38.820390406202534</v>
      </c>
      <c r="E27" s="1079">
        <f>'Build.vs.No-Build'!G31</f>
        <v>37.619133456215238</v>
      </c>
      <c r="F27" s="1079">
        <f>'Build.vs.No-Build'!H31</f>
        <v>36.455048163823172</v>
      </c>
      <c r="G27" s="1079">
        <f>'Build.vs.No-Build'!I31</f>
        <v>35.326984290413051</v>
      </c>
      <c r="H27" s="1079">
        <f>'Build.vs.No-Build'!J31</f>
        <v>34.233827190319332</v>
      </c>
      <c r="I27" s="1079">
        <f>'Build.vs.No-Build'!K31</f>
        <v>33.174496709437179</v>
      </c>
      <c r="J27" s="1079">
        <f>'Build.vs.No-Build'!L31</f>
        <v>32.147946117916725</v>
      </c>
      <c r="K27" s="1079">
        <f>'Build.vs.No-Build'!M31</f>
        <v>31.153161075883911</v>
      </c>
      <c r="L27" s="1079">
        <f>'Build.vs.No-Build'!N31</f>
        <v>30.189158631166098</v>
      </c>
      <c r="M27" s="1079">
        <f>'Build.vs.No-Build'!O31</f>
        <v>29.254986248032026</v>
      </c>
      <c r="N27" s="1079">
        <f>'Build.vs.No-Build'!P31</f>
        <v>28.349720865986406</v>
      </c>
      <c r="O27" s="1079">
        <f>'Build.vs.No-Build'!Q31</f>
        <v>27.472467987689111</v>
      </c>
      <c r="P27" s="1079">
        <f>'Build.vs.No-Build'!R31</f>
        <v>26.622360795097809</v>
      </c>
      <c r="Q27" s="1079">
        <f>'Build.vs.No-Build'!S31</f>
        <v>25.798559292960654</v>
      </c>
      <c r="R27" s="1079">
        <f>'Build.vs.No-Build'!T31</f>
        <v>25.000249478812655</v>
      </c>
      <c r="S27" s="1079">
        <f>'Build.vs.No-Build'!U31</f>
        <v>24.226642538655724</v>
      </c>
      <c r="T27" s="1079">
        <f>'Build.vs.No-Build'!V31</f>
        <v>23.476974067527511</v>
      </c>
      <c r="U27" s="1079">
        <f>'Build.vs.No-Build'!W31</f>
        <v>22.750503314189004</v>
      </c>
      <c r="V27" s="1079">
        <f>'Build.vs.No-Build'!X31</f>
        <v>22.046512449184409</v>
      </c>
      <c r="W27" s="1079">
        <f>'Build.vs.No-Build'!Y31</f>
        <v>21.364305855550235</v>
      </c>
      <c r="X27" s="1079">
        <f>'Build.vs.No-Build'!Z31</f>
        <v>20.703209441472609</v>
      </c>
    </row>
    <row r="28" spans="1:26" s="1066" customFormat="1" ht="21" customHeight="1" x14ac:dyDescent="0.3">
      <c r="A28" s="1064"/>
      <c r="B28" s="1081" t="s">
        <v>140</v>
      </c>
      <c r="C28" s="1082"/>
      <c r="D28" s="1079">
        <f>'Build.vs.No-Build'!F32</f>
        <v>38.63573596229935</v>
      </c>
      <c r="E28" s="1079">
        <f>'Build.vs.No-Build'!G32</f>
        <v>37.389132250901135</v>
      </c>
      <c r="F28" s="1079">
        <f>'Build.vs.No-Build'!H32</f>
        <v>36.182750908109739</v>
      </c>
      <c r="G28" s="1079">
        <f>'Build.vs.No-Build'!I32</f>
        <v>35.01529413662076</v>
      </c>
      <c r="H28" s="1079">
        <f>'Build.vs.No-Build'!J32</f>
        <v>33.885506013288385</v>
      </c>
      <c r="I28" s="1079">
        <f>'Build.vs.No-Build'!K32</f>
        <v>32.792171138032181</v>
      </c>
      <c r="J28" s="1079">
        <f>'Build.vs.No-Build'!L32</f>
        <v>31.734113326337692</v>
      </c>
      <c r="K28" s="1079">
        <f>'Build.vs.No-Build'!M32</f>
        <v>30.710194343944131</v>
      </c>
      <c r="L28" s="1079">
        <f>'Build.vs.No-Build'!N32</f>
        <v>29.719312682358119</v>
      </c>
      <c r="M28" s="1079">
        <f>'Build.vs.No-Build'!O32</f>
        <v>28.760402373876275</v>
      </c>
      <c r="N28" s="1079">
        <f>'Build.vs.No-Build'!P32</f>
        <v>27.832431844841569</v>
      </c>
      <c r="O28" s="1079">
        <f>'Build.vs.No-Build'!Q32</f>
        <v>26.93440280590017</v>
      </c>
      <c r="P28" s="1079">
        <f>'Build.vs.No-Build'!R32</f>
        <v>26.065349178064686</v>
      </c>
      <c r="Q28" s="1079">
        <f>'Build.vs.No-Build'!S32</f>
        <v>25.224336053428669</v>
      </c>
      <c r="R28" s="1079">
        <f>'Build.vs.No-Build'!T32</f>
        <v>24.410458689414067</v>
      </c>
      <c r="S28" s="1079">
        <f>'Build.vs.No-Build'!U32</f>
        <v>23.622841535470116</v>
      </c>
      <c r="T28" s="1079">
        <f>'Build.vs.No-Build'!V32</f>
        <v>22.860637291176054</v>
      </c>
      <c r="U28" s="1079">
        <f>'Build.vs.No-Build'!W32</f>
        <v>22.123025994734931</v>
      </c>
      <c r="V28" s="1079">
        <f>'Build.vs.No-Build'!X32</f>
        <v>21.409214140877488</v>
      </c>
      <c r="W28" s="1079">
        <f>'Build.vs.No-Build'!Y32</f>
        <v>20.718433827227447</v>
      </c>
      <c r="X28" s="1079">
        <f>'Build.vs.No-Build'!Z32</f>
        <v>20.049941928209847</v>
      </c>
    </row>
    <row r="29" spans="1:26" s="1066" customFormat="1" ht="21" customHeight="1" thickBot="1" x14ac:dyDescent="0.3">
      <c r="A29" s="1064"/>
      <c r="B29" s="1065"/>
      <c r="D29" s="1844" t="s">
        <v>311</v>
      </c>
      <c r="E29" s="1844"/>
      <c r="F29" s="1844"/>
      <c r="G29" s="1844"/>
      <c r="H29" s="1844"/>
      <c r="I29" s="1844"/>
      <c r="J29" s="1844"/>
      <c r="K29" s="1844"/>
      <c r="L29" s="1844"/>
      <c r="M29" s="1844"/>
      <c r="N29" s="1844"/>
      <c r="O29" s="1844"/>
      <c r="P29" s="1844"/>
      <c r="Q29" s="1844"/>
      <c r="R29" s="1844"/>
      <c r="S29" s="1844"/>
      <c r="T29" s="1844"/>
      <c r="U29" s="1844"/>
      <c r="V29" s="1844"/>
      <c r="W29" s="1844"/>
      <c r="X29" s="1844"/>
    </row>
    <row r="30" spans="1:26" s="1066" customFormat="1" ht="21" customHeight="1" thickBot="1" x14ac:dyDescent="0.35">
      <c r="A30" s="1064"/>
      <c r="B30" s="1087"/>
      <c r="C30" s="1088"/>
      <c r="D30" s="719">
        <v>2023</v>
      </c>
      <c r="E30" s="717">
        <f>D30+1</f>
        <v>2024</v>
      </c>
      <c r="F30" s="717">
        <f t="shared" ref="F30" si="39">E30+1</f>
        <v>2025</v>
      </c>
      <c r="G30" s="717">
        <f t="shared" ref="G30" si="40">F30+1</f>
        <v>2026</v>
      </c>
      <c r="H30" s="717">
        <f t="shared" ref="H30" si="41">G30+1</f>
        <v>2027</v>
      </c>
      <c r="I30" s="717">
        <f t="shared" ref="I30" si="42">H30+1</f>
        <v>2028</v>
      </c>
      <c r="J30" s="717">
        <f t="shared" ref="J30" si="43">I30+1</f>
        <v>2029</v>
      </c>
      <c r="K30" s="717">
        <f t="shared" ref="K30" si="44">J30+1</f>
        <v>2030</v>
      </c>
      <c r="L30" s="717">
        <f t="shared" ref="L30" si="45">K30+1</f>
        <v>2031</v>
      </c>
      <c r="M30" s="717">
        <f t="shared" ref="M30" si="46">L30+1</f>
        <v>2032</v>
      </c>
      <c r="N30" s="717">
        <f t="shared" ref="N30" si="47">M30+1</f>
        <v>2033</v>
      </c>
      <c r="O30" s="717">
        <f t="shared" ref="O30" si="48">N30+1</f>
        <v>2034</v>
      </c>
      <c r="P30" s="717">
        <f t="shared" ref="P30" si="49">O30+1</f>
        <v>2035</v>
      </c>
      <c r="Q30" s="717">
        <f t="shared" ref="Q30" si="50">P30+1</f>
        <v>2036</v>
      </c>
      <c r="R30" s="717">
        <f t="shared" ref="R30" si="51">Q30+1</f>
        <v>2037</v>
      </c>
      <c r="S30" s="717">
        <f t="shared" ref="S30" si="52">R30+1</f>
        <v>2038</v>
      </c>
      <c r="T30" s="717">
        <f t="shared" ref="T30" si="53">S30+1</f>
        <v>2039</v>
      </c>
      <c r="U30" s="717">
        <f t="shared" ref="U30" si="54">T30+1</f>
        <v>2040</v>
      </c>
      <c r="V30" s="717">
        <f t="shared" ref="V30" si="55">U30+1</f>
        <v>2041</v>
      </c>
      <c r="W30" s="717">
        <f t="shared" ref="W30" si="56">V30+1</f>
        <v>2042</v>
      </c>
      <c r="X30" s="718">
        <f t="shared" ref="X30" si="57">W30+1</f>
        <v>2043</v>
      </c>
    </row>
    <row r="31" spans="1:26" s="1066" customFormat="1" ht="21" customHeight="1" x14ac:dyDescent="0.25">
      <c r="A31" s="1064"/>
      <c r="B31" s="1070" t="s">
        <v>573</v>
      </c>
      <c r="C31" s="1071"/>
      <c r="D31" s="1073">
        <f>'Build.vs.No-Build'!F53</f>
        <v>44.804202212572676</v>
      </c>
      <c r="E31" s="1073">
        <f>'Build.vs.No-Build'!G53</f>
        <v>44.223657910498268</v>
      </c>
      <c r="F31" s="1073">
        <f>'Build.vs.No-Build'!H53</f>
        <v>43.650635931554895</v>
      </c>
      <c r="G31" s="1073">
        <f>'Build.vs.No-Build'!I53</f>
        <v>43.08503880627282</v>
      </c>
      <c r="H31" s="1073">
        <f>'Build.vs.No-Build'!J53</f>
        <v>42.526770328129551</v>
      </c>
      <c r="I31" s="1073">
        <f>'Build.vs.No-Build'!K53</f>
        <v>41.975735537185457</v>
      </c>
      <c r="J31" s="1073">
        <f>'Build.vs.No-Build'!L53</f>
        <v>41.431840703931243</v>
      </c>
      <c r="K31" s="1073">
        <f>'Build.vs.No-Build'!M53</f>
        <v>40.894993313344919</v>
      </c>
      <c r="L31" s="1073">
        <f>'Build.vs.No-Build'!N53</f>
        <v>40.365102049155176</v>
      </c>
      <c r="M31" s="1073">
        <f>'Build.vs.No-Build'!O53</f>
        <v>39.842076778308744</v>
      </c>
      <c r="N31" s="1073">
        <f>'Build.vs.No-Build'!P53</f>
        <v>39.325828535639062</v>
      </c>
      <c r="O31" s="1073">
        <f>'Build.vs.No-Build'!Q53</f>
        <v>38.816269508733463</v>
      </c>
      <c r="P31" s="1073">
        <f>'Build.vs.No-Build'!R53</f>
        <v>38.313313022996603</v>
      </c>
      <c r="Q31" s="1073">
        <f>'Build.vs.No-Build'!S53</f>
        <v>37.81687352690728</v>
      </c>
      <c r="R31" s="1073">
        <f>'Build.vs.No-Build'!T53</f>
        <v>37.326866577466411</v>
      </c>
      <c r="S31" s="1073">
        <f>'Build.vs.No-Build'!U53</f>
        <v>36.843208825833486</v>
      </c>
      <c r="T31" s="1073">
        <f>'Build.vs.No-Build'!V53</f>
        <v>36.365818003149172</v>
      </c>
      <c r="U31" s="1073">
        <f>'Build.vs.No-Build'!W53</f>
        <v>35.894612906541553</v>
      </c>
      <c r="V31" s="1073">
        <f>'Build.vs.No-Build'!X53</f>
        <v>35.429513385313797</v>
      </c>
      <c r="W31" s="1073">
        <f>'Build.vs.No-Build'!Y53</f>
        <v>34.970440327310747</v>
      </c>
      <c r="X31" s="1073">
        <f>'Build.vs.No-Build'!Z53</f>
        <v>34.517315645462126</v>
      </c>
    </row>
    <row r="32" spans="1:26" s="1066" customFormat="1" ht="21" customHeight="1" x14ac:dyDescent="0.25">
      <c r="A32" s="1064"/>
      <c r="B32" s="1076" t="s">
        <v>574</v>
      </c>
      <c r="C32" s="1077"/>
      <c r="D32" s="1079">
        <f>'Build.vs.No-Build'!F54</f>
        <v>44.843292027991723</v>
      </c>
      <c r="E32" s="1079">
        <f>'Build.vs.No-Build'!G54</f>
        <v>44.260450456312462</v>
      </c>
      <c r="F32" s="1079">
        <f>'Build.vs.No-Build'!H54</f>
        <v>43.685184249471845</v>
      </c>
      <c r="G32" s="1079">
        <f>'Build.vs.No-Build'!I54</f>
        <v>43.117394948205408</v>
      </c>
      <c r="H32" s="1079">
        <f>'Build.vs.No-Build'!J54</f>
        <v>42.556985372952987</v>
      </c>
      <c r="I32" s="1079">
        <f>'Build.vs.No-Build'!K54</f>
        <v>42.003859607225976</v>
      </c>
      <c r="J32" s="1079">
        <f>'Build.vs.No-Build'!L54</f>
        <v>41.457922981190833</v>
      </c>
      <c r="K32" s="1079">
        <f>'Build.vs.No-Build'!M54</f>
        <v>40.919082055465942</v>
      </c>
      <c r="L32" s="1079">
        <f>'Build.vs.No-Build'!N54</f>
        <v>40.387244605129048</v>
      </c>
      <c r="M32" s="1079">
        <f>'Build.vs.No-Build'!O54</f>
        <v>39.862319603932555</v>
      </c>
      <c r="N32" s="1079">
        <f>'Build.vs.No-Build'!P54</f>
        <v>39.344217208724061</v>
      </c>
      <c r="O32" s="1079">
        <f>'Build.vs.No-Build'!Q54</f>
        <v>38.83284874406921</v>
      </c>
      <c r="P32" s="1079">
        <f>'Build.vs.No-Build'!R54</f>
        <v>38.328126687074651</v>
      </c>
      <c r="Q32" s="1079">
        <f>'Build.vs.No-Build'!S54</f>
        <v>37.829964652407959</v>
      </c>
      <c r="R32" s="1079">
        <f>'Build.vs.No-Build'!T54</f>
        <v>37.338277377512611</v>
      </c>
      <c r="S32" s="1079">
        <f>'Build.vs.No-Build'!U54</f>
        <v>36.852980708014726</v>
      </c>
      <c r="T32" s="1079">
        <f>'Build.vs.No-Build'!V54</f>
        <v>36.373991583319842</v>
      </c>
      <c r="U32" s="1079">
        <f>'Build.vs.No-Build'!W54</f>
        <v>35.901228022396694</v>
      </c>
      <c r="V32" s="1079">
        <f>'Build.vs.No-Build'!X54</f>
        <v>35.434609109745786</v>
      </c>
      <c r="W32" s="1079">
        <f>'Build.vs.No-Build'!Y54</f>
        <v>34.974054981550353</v>
      </c>
      <c r="X32" s="1079">
        <f>'Build.vs.No-Build'!Z54</f>
        <v>34.519486812007429</v>
      </c>
    </row>
    <row r="33" spans="1:36" s="1066" customFormat="1" ht="21" customHeight="1" x14ac:dyDescent="0.25">
      <c r="A33" s="1064"/>
      <c r="B33" s="1076" t="s">
        <v>575</v>
      </c>
      <c r="C33" s="1077"/>
      <c r="D33" s="1079">
        <f>'Build.vs.No-Build'!F55</f>
        <v>44.805698351918288</v>
      </c>
      <c r="E33" s="1079">
        <f>'Build.vs.No-Build'!G55</f>
        <v>44.225172075987416</v>
      </c>
      <c r="F33" s="1079">
        <f>'Build.vs.No-Build'!H55</f>
        <v>43.652167404884558</v>
      </c>
      <c r="G33" s="1079">
        <f>'Build.vs.No-Build'!I55</f>
        <v>43.086586884727716</v>
      </c>
      <c r="H33" s="1079">
        <f>'Build.vs.No-Build'!J55</f>
        <v>42.528334324298818</v>
      </c>
      <c r="I33" s="1079">
        <f>'Build.vs.No-Build'!K55</f>
        <v>41.977314778684011</v>
      </c>
      <c r="J33" s="1079">
        <f>'Build.vs.No-Build'!L55</f>
        <v>41.433434533125826</v>
      </c>
      <c r="K33" s="1079">
        <f>'Build.vs.No-Build'!M55</f>
        <v>40.896601087084662</v>
      </c>
      <c r="L33" s="1079">
        <f>'Build.vs.No-Build'!N55</f>
        <v>40.366723138506735</v>
      </c>
      <c r="M33" s="1079">
        <f>'Build.vs.No-Build'!O55</f>
        <v>39.843710568295869</v>
      </c>
      <c r="N33" s="1079">
        <f>'Build.vs.No-Build'!P55</f>
        <v>39.327474424986427</v>
      </c>
      <c r="O33" s="1079">
        <f>'Build.vs.No-Build'!Q55</f>
        <v>38.817926909614947</v>
      </c>
      <c r="P33" s="1079">
        <f>'Build.vs.No-Build'!R55</f>
        <v>38.314981360787655</v>
      </c>
      <c r="Q33" s="1079">
        <f>'Build.vs.No-Build'!S55</f>
        <v>37.818552239941546</v>
      </c>
      <c r="R33" s="1079">
        <f>'Build.vs.No-Build'!T55</f>
        <v>37.328555116796387</v>
      </c>
      <c r="S33" s="1079">
        <f>'Build.vs.No-Build'!U55</f>
        <v>36.844906654995171</v>
      </c>
      <c r="T33" s="1079">
        <f>'Build.vs.No-Build'!V55</f>
        <v>36.367524597930775</v>
      </c>
      <c r="U33" s="1079">
        <f>'Build.vs.No-Build'!W55</f>
        <v>35.896327754756101</v>
      </c>
      <c r="V33" s="1079">
        <f>'Build.vs.No-Build'!X55</f>
        <v>35.431235986575452</v>
      </c>
      <c r="W33" s="1079">
        <f>'Build.vs.No-Build'!Y55</f>
        <v>34.972170192815007</v>
      </c>
      <c r="X33" s="1079">
        <f>'Build.vs.No-Build'!Z55</f>
        <v>34.519052297769711</v>
      </c>
    </row>
    <row r="34" spans="1:36" s="1066" customFormat="1" ht="21" customHeight="1" x14ac:dyDescent="0.3">
      <c r="A34" s="1064"/>
      <c r="B34" s="1081" t="s">
        <v>140</v>
      </c>
      <c r="C34" s="1082"/>
      <c r="D34" s="1079">
        <f>'Build.vs.No-Build'!F56</f>
        <v>44.962838798751179</v>
      </c>
      <c r="E34" s="1079">
        <f>'Build.vs.No-Build'!G56</f>
        <v>44.498539282954823</v>
      </c>
      <c r="F34" s="1079">
        <f>'Build.vs.No-Build'!H56</f>
        <v>44.039034260703112</v>
      </c>
      <c r="G34" s="1079">
        <f>'Build.vs.No-Build'!I56</f>
        <v>43.584274222643614</v>
      </c>
      <c r="H34" s="1079">
        <f>'Build.vs.No-Build'!J56</f>
        <v>43.134210170672084</v>
      </c>
      <c r="I34" s="1079">
        <f>'Build.vs.No-Build'!K56</f>
        <v>42.688793612653129</v>
      </c>
      <c r="J34" s="1079">
        <f>'Build.vs.No-Build'!L56</f>
        <v>42.247976557195422</v>
      </c>
      <c r="K34" s="1079">
        <f>'Build.vs.No-Build'!M56</f>
        <v>41.811711508480876</v>
      </c>
      <c r="L34" s="1079">
        <f>'Build.vs.No-Build'!N56</f>
        <v>41.379951461147243</v>
      </c>
      <c r="M34" s="1079">
        <f>'Build.vs.No-Build'!O56</f>
        <v>40.952649895223409</v>
      </c>
      <c r="N34" s="1079">
        <f>'Build.vs.No-Build'!P56</f>
        <v>40.529760771117274</v>
      </c>
      <c r="O34" s="1079">
        <f>'Build.vs.No-Build'!Q56</f>
        <v>40.111238524655064</v>
      </c>
      <c r="P34" s="1079">
        <f>'Build.vs.No-Build'!R56</f>
        <v>39.697038062172119</v>
      </c>
      <c r="Q34" s="1079">
        <f>'Build.vs.No-Build'!S56</f>
        <v>39.287114755654216</v>
      </c>
      <c r="R34" s="1079">
        <f>'Build.vs.No-Build'!T56</f>
        <v>38.881424437929155</v>
      </c>
      <c r="S34" s="1079">
        <f>'Build.vs.No-Build'!U56</f>
        <v>38.479923397907996</v>
      </c>
      <c r="T34" s="1079">
        <f>'Build.vs.No-Build'!V56</f>
        <v>38.08256837587534</v>
      </c>
      <c r="U34" s="1079">
        <f>'Build.vs.No-Build'!W56</f>
        <v>37.689316558828324</v>
      </c>
      <c r="V34" s="1079">
        <f>'Build.vs.No-Build'!X56</f>
        <v>37.300125575863852</v>
      </c>
      <c r="W34" s="1079">
        <f>'Build.vs.No-Build'!Y56</f>
        <v>36.914953493613176</v>
      </c>
      <c r="X34" s="1079">
        <f>'Build.vs.No-Build'!Z56</f>
        <v>36.533758811723899</v>
      </c>
    </row>
    <row r="35" spans="1:36" s="1066" customFormat="1" ht="21" customHeight="1" x14ac:dyDescent="0.25">
      <c r="A35" s="1064"/>
      <c r="B35" s="1065"/>
      <c r="D35" s="1090"/>
      <c r="E35" s="1090"/>
      <c r="F35" s="1090"/>
      <c r="G35" s="1090"/>
      <c r="H35" s="1090"/>
      <c r="I35" s="1090"/>
      <c r="J35" s="1090"/>
      <c r="K35" s="1090"/>
      <c r="L35" s="1075"/>
      <c r="M35" s="1089"/>
      <c r="N35" s="1089"/>
      <c r="O35" s="1089"/>
      <c r="P35" s="1089"/>
      <c r="Q35" s="1089"/>
      <c r="R35" s="1089"/>
      <c r="S35" s="1089"/>
      <c r="T35" s="1089"/>
      <c r="U35" s="1089"/>
      <c r="V35" s="1089"/>
      <c r="W35" s="1089"/>
      <c r="X35" s="1089"/>
      <c r="Y35" s="1089"/>
      <c r="Z35" s="1089"/>
      <c r="AA35" s="1089"/>
      <c r="AB35" s="1089"/>
      <c r="AC35" s="1089"/>
      <c r="AD35" s="1089"/>
      <c r="AE35" s="1089"/>
      <c r="AF35" s="1089"/>
    </row>
    <row r="36" spans="1:36" s="1066" customFormat="1" ht="31.5" customHeight="1" x14ac:dyDescent="0.4">
      <c r="A36" s="1064"/>
      <c r="B36" s="1091" t="s">
        <v>543</v>
      </c>
      <c r="C36" s="1092"/>
      <c r="D36" s="1092"/>
      <c r="E36" s="1092"/>
      <c r="F36" s="1092"/>
      <c r="G36" s="1092"/>
      <c r="H36" s="1092"/>
      <c r="I36" s="1092"/>
      <c r="J36" s="1092"/>
      <c r="K36" s="1092"/>
      <c r="L36" s="1092"/>
      <c r="M36" s="1092"/>
      <c r="N36" s="1092"/>
      <c r="O36" s="1092"/>
      <c r="P36" s="1092"/>
      <c r="Q36" s="1092"/>
      <c r="R36" s="1092"/>
      <c r="S36" s="1092"/>
      <c r="T36" s="1092"/>
      <c r="U36" s="1092"/>
      <c r="V36" s="1092"/>
      <c r="W36" s="1092"/>
      <c r="X36" s="1092"/>
      <c r="Y36" s="1079"/>
      <c r="Z36" s="1079"/>
      <c r="AA36" s="1079"/>
      <c r="AB36" s="1079"/>
      <c r="AC36" s="1079"/>
      <c r="AD36" s="1079"/>
      <c r="AE36" s="1079"/>
      <c r="AF36" s="1079"/>
      <c r="AG36" s="1064"/>
      <c r="AH36" s="1064"/>
      <c r="AI36" s="1064"/>
      <c r="AJ36" s="1064"/>
    </row>
    <row r="37" spans="1:36" s="1066" customFormat="1" ht="21" customHeight="1" x14ac:dyDescent="0.25">
      <c r="A37" s="1064"/>
      <c r="B37" s="1065"/>
      <c r="D37" s="1090"/>
      <c r="E37" s="1090"/>
      <c r="F37" s="1090"/>
      <c r="G37" s="1090"/>
      <c r="H37" s="1090"/>
      <c r="I37" s="1090"/>
      <c r="J37" s="1090"/>
      <c r="K37" s="1090"/>
      <c r="L37" s="1075"/>
      <c r="M37" s="1089"/>
      <c r="N37" s="1089"/>
      <c r="O37" s="1089"/>
      <c r="P37" s="1089"/>
      <c r="Q37" s="1089"/>
      <c r="R37" s="1089"/>
      <c r="S37" s="1089"/>
      <c r="T37" s="1089"/>
      <c r="U37" s="1089"/>
      <c r="V37" s="1089"/>
      <c r="W37" s="1089"/>
      <c r="X37" s="1089"/>
      <c r="Y37" s="1079"/>
      <c r="Z37" s="1079"/>
      <c r="AA37" s="1079"/>
      <c r="AB37" s="1079"/>
      <c r="AC37" s="1079"/>
      <c r="AD37" s="1079"/>
      <c r="AE37" s="1079"/>
      <c r="AF37" s="1079"/>
      <c r="AG37" s="1064"/>
      <c r="AH37" s="1064"/>
      <c r="AI37" s="1064"/>
      <c r="AJ37" s="1064"/>
    </row>
    <row r="38" spans="1:36" s="1066" customFormat="1" ht="21" customHeight="1" thickBot="1" x14ac:dyDescent="0.45">
      <c r="A38" s="1064"/>
      <c r="B38" s="1065"/>
      <c r="C38" s="1093"/>
      <c r="D38" s="1841" t="s">
        <v>541</v>
      </c>
      <c r="E38" s="1841"/>
      <c r="F38" s="1841"/>
      <c r="G38" s="1841"/>
      <c r="H38" s="1841"/>
      <c r="I38" s="1841"/>
      <c r="J38" s="1841"/>
      <c r="K38" s="1841"/>
      <c r="L38" s="1841"/>
      <c r="M38" s="1841"/>
      <c r="N38" s="1841"/>
      <c r="O38" s="1841"/>
      <c r="P38" s="1841"/>
      <c r="Q38" s="1841"/>
      <c r="R38" s="1841"/>
      <c r="S38" s="1841"/>
      <c r="T38" s="1841"/>
      <c r="U38" s="1841"/>
      <c r="V38" s="1841"/>
      <c r="W38" s="1841"/>
      <c r="X38" s="1841"/>
      <c r="Y38" s="1064"/>
      <c r="Z38" s="1064"/>
      <c r="AA38" s="1064"/>
      <c r="AB38" s="1064"/>
      <c r="AC38" s="1064"/>
      <c r="AD38" s="1064"/>
      <c r="AE38" s="1064"/>
      <c r="AF38" s="1064"/>
      <c r="AG38" s="1064"/>
      <c r="AH38" s="1064"/>
      <c r="AI38" s="1064"/>
      <c r="AJ38" s="1064"/>
    </row>
    <row r="39" spans="1:36" s="1066" customFormat="1" ht="21" customHeight="1" x14ac:dyDescent="0.25">
      <c r="A39" s="1064"/>
      <c r="B39" s="1065"/>
      <c r="C39" s="1094"/>
      <c r="D39" s="719">
        <v>2023</v>
      </c>
      <c r="E39" s="717">
        <f>D39+1</f>
        <v>2024</v>
      </c>
      <c r="F39" s="717">
        <f t="shared" ref="F39" si="58">E39+1</f>
        <v>2025</v>
      </c>
      <c r="G39" s="717">
        <f t="shared" ref="G39" si="59">F39+1</f>
        <v>2026</v>
      </c>
      <c r="H39" s="717">
        <f t="shared" ref="H39" si="60">G39+1</f>
        <v>2027</v>
      </c>
      <c r="I39" s="717">
        <f t="shared" ref="I39" si="61">H39+1</f>
        <v>2028</v>
      </c>
      <c r="J39" s="717">
        <f t="shared" ref="J39" si="62">I39+1</f>
        <v>2029</v>
      </c>
      <c r="K39" s="717">
        <f t="shared" ref="K39" si="63">J39+1</f>
        <v>2030</v>
      </c>
      <c r="L39" s="717">
        <f t="shared" ref="L39" si="64">K39+1</f>
        <v>2031</v>
      </c>
      <c r="M39" s="717">
        <f t="shared" ref="M39" si="65">L39+1</f>
        <v>2032</v>
      </c>
      <c r="N39" s="717">
        <f t="shared" ref="N39" si="66">M39+1</f>
        <v>2033</v>
      </c>
      <c r="O39" s="717">
        <f t="shared" ref="O39" si="67">N39+1</f>
        <v>2034</v>
      </c>
      <c r="P39" s="717">
        <f t="shared" ref="P39" si="68">O39+1</f>
        <v>2035</v>
      </c>
      <c r="Q39" s="717">
        <f t="shared" ref="Q39" si="69">P39+1</f>
        <v>2036</v>
      </c>
      <c r="R39" s="717">
        <f t="shared" ref="R39" si="70">Q39+1</f>
        <v>2037</v>
      </c>
      <c r="S39" s="717">
        <f t="shared" ref="S39" si="71">R39+1</f>
        <v>2038</v>
      </c>
      <c r="T39" s="717">
        <f t="shared" ref="T39" si="72">S39+1</f>
        <v>2039</v>
      </c>
      <c r="U39" s="717">
        <f t="shared" ref="U39" si="73">T39+1</f>
        <v>2040</v>
      </c>
      <c r="V39" s="717">
        <f t="shared" ref="V39" si="74">U39+1</f>
        <v>2041</v>
      </c>
      <c r="W39" s="717">
        <f t="shared" ref="W39" si="75">V39+1</f>
        <v>2042</v>
      </c>
      <c r="X39" s="718">
        <f t="shared" ref="X39" si="76">W39+1</f>
        <v>2043</v>
      </c>
      <c r="Y39" s="1064"/>
      <c r="Z39" s="1064"/>
      <c r="AA39" s="1064"/>
      <c r="AB39" s="1064"/>
      <c r="AC39" s="1064"/>
      <c r="AD39" s="1064"/>
      <c r="AE39" s="1064"/>
      <c r="AF39" s="1064"/>
      <c r="AG39" s="1064"/>
      <c r="AH39" s="1064"/>
      <c r="AI39" s="1064"/>
      <c r="AJ39" s="1064"/>
    </row>
    <row r="40" spans="1:36" s="1066" customFormat="1" ht="21" customHeight="1" x14ac:dyDescent="0.2">
      <c r="A40" s="1064"/>
      <c r="B40" s="1070" t="s">
        <v>394</v>
      </c>
      <c r="C40" s="1095"/>
      <c r="D40" s="1096">
        <f>VLOOKUP(ROUND(D25,0),Fuel.Use.Rate!$C$13:$E$88,2)</f>
        <v>4.1099999999999998E-2</v>
      </c>
      <c r="E40" s="1096">
        <f>VLOOKUP(ROUND(E25,0),Fuel.Use.Rate!$C$13:$E$88,2)</f>
        <v>4.1700000000000001E-2</v>
      </c>
      <c r="F40" s="1096">
        <f>VLOOKUP(ROUND(F25,0),Fuel.Use.Rate!$C$13:$E$88,2)</f>
        <v>4.2900000000000001E-2</v>
      </c>
      <c r="G40" s="1096">
        <f>VLOOKUP(ROUND(G25,0),Fuel.Use.Rate!$C$13:$E$88,2)</f>
        <v>4.3499999999999997E-2</v>
      </c>
      <c r="H40" s="1096">
        <f>VLOOKUP(ROUND(H25,0),Fuel.Use.Rate!$C$13:$E$88,2)</f>
        <v>4.4499999999999998E-2</v>
      </c>
      <c r="I40" s="1096">
        <f>VLOOKUP(ROUND(I25,0),Fuel.Use.Rate!$C$13:$E$88,2)</f>
        <v>4.5499999999999999E-2</v>
      </c>
      <c r="J40" s="1096">
        <f>VLOOKUP(ROUND(J25,0),Fuel.Use.Rate!$C$13:$E$88,2)</f>
        <v>4.65E-2</v>
      </c>
      <c r="K40" s="1096">
        <f>VLOOKUP(ROUND(K25,0),Fuel.Use.Rate!$C$13:$E$88,2)</f>
        <v>4.7500000000000001E-2</v>
      </c>
      <c r="L40" s="1096">
        <f>VLOOKUP(ROUND(L25,0),Fuel.Use.Rate!$C$13:$E$88,2)</f>
        <v>4.8500000000000001E-2</v>
      </c>
      <c r="M40" s="1096">
        <f>VLOOKUP(ROUND(M25,0),Fuel.Use.Rate!$C$13:$E$88,2)</f>
        <v>0.05</v>
      </c>
      <c r="N40" s="1096">
        <f>VLOOKUP(ROUND(N25,0),Fuel.Use.Rate!$C$13:$E$88,2)</f>
        <v>5.1499999999999997E-2</v>
      </c>
      <c r="O40" s="1096">
        <f>VLOOKUP(ROUND(O25,0),Fuel.Use.Rate!$C$13:$E$88,2)</f>
        <v>5.2900000000000003E-2</v>
      </c>
      <c r="P40" s="1096">
        <f>VLOOKUP(ROUND(P25,0),Fuel.Use.Rate!$C$13:$E$88,2)</f>
        <v>5.2900000000000003E-2</v>
      </c>
      <c r="Q40" s="1096">
        <f>VLOOKUP(ROUND(Q25,0),Fuel.Use.Rate!$C$13:$E$88,2)</f>
        <v>5.4399999999999997E-2</v>
      </c>
      <c r="R40" s="1096">
        <f>VLOOKUP(ROUND(R25,0),Fuel.Use.Rate!$C$13:$E$88,2)</f>
        <v>5.5899999999999998E-2</v>
      </c>
      <c r="S40" s="1096">
        <f>VLOOKUP(ROUND(S25,0),Fuel.Use.Rate!$C$13:$E$88,2)</f>
        <v>5.8099999999999999E-2</v>
      </c>
      <c r="T40" s="1096">
        <f>VLOOKUP(ROUND(T25,0),Fuel.Use.Rate!$C$13:$E$88,2)</f>
        <v>6.0299999999999999E-2</v>
      </c>
      <c r="U40" s="1096">
        <f>VLOOKUP(ROUND(U25,0),Fuel.Use.Rate!$C$13:$E$88,2)</f>
        <v>6.0299999999999999E-2</v>
      </c>
      <c r="V40" s="1096">
        <f>VLOOKUP(ROUND(V25,0),Fuel.Use.Rate!$C$13:$E$88,2)</f>
        <v>6.2600000000000003E-2</v>
      </c>
      <c r="W40" s="1096">
        <f>VLOOKUP(ROUND(W25,0),Fuel.Use.Rate!$C$13:$E$88,2)</f>
        <v>6.4799999999999996E-2</v>
      </c>
      <c r="X40" s="1096">
        <f>VLOOKUP(ROUND(X25,0),Fuel.Use.Rate!$C$13:$E$88,2)</f>
        <v>6.4799999999999996E-2</v>
      </c>
      <c r="Y40" s="1064"/>
      <c r="Z40" s="1064"/>
      <c r="AA40" s="1064"/>
      <c r="AB40" s="1064"/>
      <c r="AC40" s="1064"/>
      <c r="AD40" s="1064"/>
      <c r="AE40" s="1064"/>
      <c r="AF40" s="1064"/>
      <c r="AG40" s="1064"/>
      <c r="AH40" s="1064"/>
      <c r="AI40" s="1064"/>
      <c r="AJ40" s="1064"/>
    </row>
    <row r="41" spans="1:36" s="1066" customFormat="1" ht="21" customHeight="1" x14ac:dyDescent="0.2">
      <c r="A41" s="1064"/>
      <c r="B41" s="1076" t="s">
        <v>395</v>
      </c>
      <c r="C41" s="1095"/>
      <c r="D41" s="1096">
        <f>VLOOKUP(ROUND(D26,0),Fuel.Use.Rate!$C$13:$E$88,2)</f>
        <v>4.1099999999999998E-2</v>
      </c>
      <c r="E41" s="1096">
        <f>VLOOKUP(ROUND(E26,0),Fuel.Use.Rate!$C$13:$E$88,2)</f>
        <v>4.1700000000000001E-2</v>
      </c>
      <c r="F41" s="1096">
        <f>VLOOKUP(ROUND(F26,0),Fuel.Use.Rate!$C$13:$E$88,2)</f>
        <v>4.2900000000000001E-2</v>
      </c>
      <c r="G41" s="1096">
        <f>VLOOKUP(ROUND(G26,0),Fuel.Use.Rate!$C$13:$E$88,2)</f>
        <v>4.3499999999999997E-2</v>
      </c>
      <c r="H41" s="1096">
        <f>VLOOKUP(ROUND(H26,0),Fuel.Use.Rate!$C$13:$E$88,2)</f>
        <v>4.4499999999999998E-2</v>
      </c>
      <c r="I41" s="1096">
        <f>VLOOKUP(ROUND(I26,0),Fuel.Use.Rate!$C$13:$E$88,2)</f>
        <v>4.5499999999999999E-2</v>
      </c>
      <c r="J41" s="1096">
        <f>VLOOKUP(ROUND(J26,0),Fuel.Use.Rate!$C$13:$E$88,2)</f>
        <v>4.65E-2</v>
      </c>
      <c r="K41" s="1096">
        <f>VLOOKUP(ROUND(K26,0),Fuel.Use.Rate!$C$13:$E$88,2)</f>
        <v>4.7500000000000001E-2</v>
      </c>
      <c r="L41" s="1096">
        <f>VLOOKUP(ROUND(L26,0),Fuel.Use.Rate!$C$13:$E$88,2)</f>
        <v>4.8500000000000001E-2</v>
      </c>
      <c r="M41" s="1096">
        <f>VLOOKUP(ROUND(M26,0),Fuel.Use.Rate!$C$13:$E$88,2)</f>
        <v>0.05</v>
      </c>
      <c r="N41" s="1096">
        <f>VLOOKUP(ROUND(N26,0),Fuel.Use.Rate!$C$13:$E$88,2)</f>
        <v>5.1499999999999997E-2</v>
      </c>
      <c r="O41" s="1096">
        <f>VLOOKUP(ROUND(O26,0),Fuel.Use.Rate!$C$13:$E$88,2)</f>
        <v>5.2900000000000003E-2</v>
      </c>
      <c r="P41" s="1096">
        <f>VLOOKUP(ROUND(P26,0),Fuel.Use.Rate!$C$13:$E$88,2)</f>
        <v>5.2900000000000003E-2</v>
      </c>
      <c r="Q41" s="1096">
        <f>VLOOKUP(ROUND(Q26,0),Fuel.Use.Rate!$C$13:$E$88,2)</f>
        <v>5.4399999999999997E-2</v>
      </c>
      <c r="R41" s="1096">
        <f>VLOOKUP(ROUND(R26,0),Fuel.Use.Rate!$C$13:$E$88,2)</f>
        <v>5.5899999999999998E-2</v>
      </c>
      <c r="S41" s="1096">
        <f>VLOOKUP(ROUND(S26,0),Fuel.Use.Rate!$C$13:$E$88,2)</f>
        <v>5.8099999999999999E-2</v>
      </c>
      <c r="T41" s="1096">
        <f>VLOOKUP(ROUND(T26,0),Fuel.Use.Rate!$C$13:$E$88,2)</f>
        <v>6.0299999999999999E-2</v>
      </c>
      <c r="U41" s="1096">
        <f>VLOOKUP(ROUND(U26,0),Fuel.Use.Rate!$C$13:$E$88,2)</f>
        <v>6.0299999999999999E-2</v>
      </c>
      <c r="V41" s="1096">
        <f>VLOOKUP(ROUND(V26,0),Fuel.Use.Rate!$C$13:$E$88,2)</f>
        <v>6.2600000000000003E-2</v>
      </c>
      <c r="W41" s="1096">
        <f>VLOOKUP(ROUND(W26,0),Fuel.Use.Rate!$C$13:$E$88,2)</f>
        <v>6.4799999999999996E-2</v>
      </c>
      <c r="X41" s="1096">
        <f>VLOOKUP(ROUND(X26,0),Fuel.Use.Rate!$C$13:$E$88,2)</f>
        <v>6.4799999999999996E-2</v>
      </c>
      <c r="Y41" s="1064"/>
      <c r="Z41" s="1064"/>
      <c r="AA41" s="1064"/>
      <c r="AB41" s="1064"/>
      <c r="AC41" s="1064"/>
      <c r="AD41" s="1064"/>
      <c r="AE41" s="1064"/>
      <c r="AF41" s="1064"/>
      <c r="AG41" s="1064"/>
      <c r="AH41" s="1064"/>
      <c r="AI41" s="1064"/>
      <c r="AJ41" s="1064"/>
    </row>
    <row r="42" spans="1:36" s="1066" customFormat="1" ht="21" customHeight="1" x14ac:dyDescent="0.2">
      <c r="A42" s="1064"/>
      <c r="B42" s="1076" t="s">
        <v>396</v>
      </c>
      <c r="C42" s="1095"/>
      <c r="D42" s="1096">
        <f>VLOOKUP(ROUND(D27,0),Fuel.Use.Rate!$C$13:$E$88,2)</f>
        <v>4.1099999999999998E-2</v>
      </c>
      <c r="E42" s="1096">
        <f>VLOOKUP(ROUND(E27,0),Fuel.Use.Rate!$C$13:$E$88,2)</f>
        <v>4.1700000000000001E-2</v>
      </c>
      <c r="F42" s="1096">
        <f>VLOOKUP(ROUND(F27,0),Fuel.Use.Rate!$C$13:$E$88,2)</f>
        <v>4.2900000000000001E-2</v>
      </c>
      <c r="G42" s="1096">
        <f>VLOOKUP(ROUND(G27,0),Fuel.Use.Rate!$C$13:$E$88,2)</f>
        <v>4.3499999999999997E-2</v>
      </c>
      <c r="H42" s="1096">
        <f>VLOOKUP(ROUND(H27,0),Fuel.Use.Rate!$C$13:$E$88,2)</f>
        <v>4.4499999999999998E-2</v>
      </c>
      <c r="I42" s="1096">
        <f>VLOOKUP(ROUND(I27,0),Fuel.Use.Rate!$C$13:$E$88,2)</f>
        <v>4.5499999999999999E-2</v>
      </c>
      <c r="J42" s="1096">
        <f>VLOOKUP(ROUND(J27,0),Fuel.Use.Rate!$C$13:$E$88,2)</f>
        <v>4.65E-2</v>
      </c>
      <c r="K42" s="1096">
        <f>VLOOKUP(ROUND(K27,0),Fuel.Use.Rate!$C$13:$E$88,2)</f>
        <v>4.7500000000000001E-2</v>
      </c>
      <c r="L42" s="1096">
        <f>VLOOKUP(ROUND(L27,0),Fuel.Use.Rate!$C$13:$E$88,2)</f>
        <v>4.8500000000000001E-2</v>
      </c>
      <c r="M42" s="1096">
        <f>VLOOKUP(ROUND(M27,0),Fuel.Use.Rate!$C$13:$E$88,2)</f>
        <v>0.05</v>
      </c>
      <c r="N42" s="1096">
        <f>VLOOKUP(ROUND(N27,0),Fuel.Use.Rate!$C$13:$E$88,2)</f>
        <v>5.1499999999999997E-2</v>
      </c>
      <c r="O42" s="1096">
        <f>VLOOKUP(ROUND(O27,0),Fuel.Use.Rate!$C$13:$E$88,2)</f>
        <v>5.2900000000000003E-2</v>
      </c>
      <c r="P42" s="1096">
        <f>VLOOKUP(ROUND(P27,0),Fuel.Use.Rate!$C$13:$E$88,2)</f>
        <v>5.2900000000000003E-2</v>
      </c>
      <c r="Q42" s="1096">
        <f>VLOOKUP(ROUND(Q27,0),Fuel.Use.Rate!$C$13:$E$88,2)</f>
        <v>5.4399999999999997E-2</v>
      </c>
      <c r="R42" s="1096">
        <f>VLOOKUP(ROUND(R27,0),Fuel.Use.Rate!$C$13:$E$88,2)</f>
        <v>5.5899999999999998E-2</v>
      </c>
      <c r="S42" s="1096">
        <f>VLOOKUP(ROUND(S27,0),Fuel.Use.Rate!$C$13:$E$88,2)</f>
        <v>5.8099999999999999E-2</v>
      </c>
      <c r="T42" s="1096">
        <f>VLOOKUP(ROUND(T27,0),Fuel.Use.Rate!$C$13:$E$88,2)</f>
        <v>6.0299999999999999E-2</v>
      </c>
      <c r="U42" s="1096">
        <f>VLOOKUP(ROUND(U27,0),Fuel.Use.Rate!$C$13:$E$88,2)</f>
        <v>6.0299999999999999E-2</v>
      </c>
      <c r="V42" s="1096">
        <f>VLOOKUP(ROUND(V27,0),Fuel.Use.Rate!$C$13:$E$88,2)</f>
        <v>6.2600000000000003E-2</v>
      </c>
      <c r="W42" s="1096">
        <f>VLOOKUP(ROUND(W27,0),Fuel.Use.Rate!$C$13:$E$88,2)</f>
        <v>6.4799999999999996E-2</v>
      </c>
      <c r="X42" s="1096">
        <f>VLOOKUP(ROUND(X27,0),Fuel.Use.Rate!$C$13:$E$88,2)</f>
        <v>6.4799999999999996E-2</v>
      </c>
      <c r="Y42" s="1064"/>
      <c r="Z42" s="1064"/>
      <c r="AA42" s="1064"/>
      <c r="AB42" s="1064"/>
      <c r="AC42" s="1064"/>
      <c r="AD42" s="1064"/>
      <c r="AE42" s="1064"/>
      <c r="AF42" s="1064"/>
      <c r="AG42" s="1064"/>
      <c r="AH42" s="1064"/>
      <c r="AI42" s="1064"/>
      <c r="AJ42" s="1064"/>
    </row>
    <row r="43" spans="1:36" s="1066" customFormat="1" ht="21" customHeight="1" x14ac:dyDescent="0.3">
      <c r="A43" s="1064"/>
      <c r="B43" s="1081" t="s">
        <v>140</v>
      </c>
      <c r="C43" s="1095"/>
      <c r="D43" s="1096">
        <f>VLOOKUP(ROUND(D28,0),Fuel.Use.Rate!$C$13:$E$88,3)</f>
        <v>6.2600000000000003E-2</v>
      </c>
      <c r="E43" s="1096">
        <f>VLOOKUP(ROUND(E28,0),Fuel.Use.Rate!$C$13:$E$88,3)</f>
        <v>6.4500000000000002E-2</v>
      </c>
      <c r="F43" s="1096">
        <f>VLOOKUP(ROUND(F28,0),Fuel.Use.Rate!$C$13:$E$88,3)</f>
        <v>6.54E-2</v>
      </c>
      <c r="G43" s="1096">
        <f>VLOOKUP(ROUND(G28,0),Fuel.Use.Rate!$C$13:$E$88,3)</f>
        <v>6.6299999999999998E-2</v>
      </c>
      <c r="H43" s="1096">
        <f>VLOOKUP(ROUND(H28,0),Fuel.Use.Rate!$C$13:$E$88,3)</f>
        <v>6.7799999999999999E-2</v>
      </c>
      <c r="I43" s="1096">
        <f>VLOOKUP(ROUND(I28,0),Fuel.Use.Rate!$C$13:$E$88,3)</f>
        <v>6.93E-2</v>
      </c>
      <c r="J43" s="1096">
        <f>VLOOKUP(ROUND(J28,0),Fuel.Use.Rate!$C$13:$E$88,3)</f>
        <v>7.0800000000000002E-2</v>
      </c>
      <c r="K43" s="1096">
        <f>VLOOKUP(ROUND(K28,0),Fuel.Use.Rate!$C$13:$E$88,3)</f>
        <v>7.2300000000000003E-2</v>
      </c>
      <c r="L43" s="1096">
        <f>VLOOKUP(ROUND(L28,0),Fuel.Use.Rate!$C$13:$E$88,3)</f>
        <v>7.3800000000000004E-2</v>
      </c>
      <c r="M43" s="1096">
        <f>VLOOKUP(ROUND(M28,0),Fuel.Use.Rate!$C$13:$E$88,3)</f>
        <v>7.6200000000000004E-2</v>
      </c>
      <c r="N43" s="1096">
        <f>VLOOKUP(ROUND(N28,0),Fuel.Use.Rate!$C$13:$E$88,3)</f>
        <v>7.85E-2</v>
      </c>
      <c r="O43" s="1096">
        <f>VLOOKUP(ROUND(O28,0),Fuel.Use.Rate!$C$13:$E$88,3)</f>
        <v>8.09E-2</v>
      </c>
      <c r="P43" s="1096">
        <f>VLOOKUP(ROUND(P28,0),Fuel.Use.Rate!$C$13:$E$88,3)</f>
        <v>8.3199999999999996E-2</v>
      </c>
      <c r="Q43" s="1096">
        <f>VLOOKUP(ROUND(Q28,0),Fuel.Use.Rate!$C$13:$E$88,3)</f>
        <v>8.5599999999999996E-2</v>
      </c>
      <c r="R43" s="1096">
        <f>VLOOKUP(ROUND(R28,0),Fuel.Use.Rate!$C$13:$E$88,3)</f>
        <v>8.9099999999999999E-2</v>
      </c>
      <c r="S43" s="1096">
        <f>VLOOKUP(ROUND(S28,0),Fuel.Use.Rate!$C$13:$E$88,3)</f>
        <v>8.9099999999999999E-2</v>
      </c>
      <c r="T43" s="1096">
        <f>VLOOKUP(ROUND(T28,0),Fuel.Use.Rate!$C$13:$E$88,3)</f>
        <v>9.2600000000000002E-2</v>
      </c>
      <c r="U43" s="1096">
        <f>VLOOKUP(ROUND(U28,0),Fuel.Use.Rate!$C$13:$E$88,3)</f>
        <v>9.6199999999999994E-2</v>
      </c>
      <c r="V43" s="1096">
        <f>VLOOKUP(ROUND(V28,0),Fuel.Use.Rate!$C$13:$E$88,3)</f>
        <v>9.9699999999999997E-2</v>
      </c>
      <c r="W43" s="1096">
        <f>VLOOKUP(ROUND(W28,0),Fuel.Use.Rate!$C$13:$E$88,3)</f>
        <v>9.9699999999999997E-2</v>
      </c>
      <c r="X43" s="1096">
        <f>VLOOKUP(ROUND(X28,0),Fuel.Use.Rate!$C$13:$E$88,3)</f>
        <v>0.1032</v>
      </c>
      <c r="Y43" s="1064"/>
      <c r="Z43" s="1064"/>
      <c r="AA43" s="1064"/>
      <c r="AB43" s="1064"/>
      <c r="AC43" s="1064"/>
      <c r="AD43" s="1064"/>
      <c r="AE43" s="1064"/>
      <c r="AF43" s="1064"/>
      <c r="AG43" s="1064"/>
      <c r="AH43" s="1064"/>
      <c r="AI43" s="1064"/>
      <c r="AJ43" s="1064"/>
    </row>
    <row r="44" spans="1:36" s="1066" customFormat="1" ht="21" customHeight="1" x14ac:dyDescent="0.25">
      <c r="A44" s="1064"/>
      <c r="B44" s="1065"/>
      <c r="C44" s="1064"/>
      <c r="D44" s="1090"/>
      <c r="E44" s="1090"/>
      <c r="F44" s="1090"/>
      <c r="H44" s="1090"/>
      <c r="I44" s="1090"/>
      <c r="J44" s="1090"/>
      <c r="Y44" s="1064"/>
      <c r="Z44" s="1064"/>
      <c r="AA44" s="1064"/>
      <c r="AB44" s="1064"/>
      <c r="AC44" s="1064"/>
      <c r="AD44" s="1064"/>
      <c r="AE44" s="1064"/>
      <c r="AF44" s="1064"/>
      <c r="AG44" s="1064"/>
      <c r="AH44" s="1064"/>
      <c r="AI44" s="1064"/>
      <c r="AJ44" s="1064"/>
    </row>
    <row r="45" spans="1:36" s="1066" customFormat="1" ht="21" customHeight="1" thickBot="1" x14ac:dyDescent="0.45">
      <c r="A45" s="1064"/>
      <c r="B45" s="1097"/>
      <c r="C45" s="1098"/>
      <c r="D45" s="1841" t="s">
        <v>542</v>
      </c>
      <c r="E45" s="1841"/>
      <c r="F45" s="1841"/>
      <c r="G45" s="1841"/>
      <c r="H45" s="1841"/>
      <c r="I45" s="1841"/>
      <c r="J45" s="1841"/>
      <c r="K45" s="1841"/>
      <c r="L45" s="1841"/>
      <c r="M45" s="1841"/>
      <c r="N45" s="1841"/>
      <c r="O45" s="1841"/>
      <c r="P45" s="1841"/>
      <c r="Q45" s="1841"/>
      <c r="R45" s="1841"/>
      <c r="S45" s="1841"/>
      <c r="T45" s="1841"/>
      <c r="U45" s="1841"/>
      <c r="V45" s="1841"/>
      <c r="W45" s="1841"/>
      <c r="X45" s="1841"/>
      <c r="Y45" s="1064"/>
      <c r="Z45" s="1064"/>
      <c r="AA45" s="1064"/>
      <c r="AB45" s="1064"/>
      <c r="AC45" s="1064"/>
      <c r="AD45" s="1064"/>
      <c r="AE45" s="1064"/>
      <c r="AF45" s="1064"/>
      <c r="AG45" s="1064"/>
      <c r="AH45" s="1064"/>
      <c r="AI45" s="1064"/>
      <c r="AJ45" s="1064"/>
    </row>
    <row r="46" spans="1:36" s="1066" customFormat="1" ht="21" customHeight="1" x14ac:dyDescent="0.25">
      <c r="A46" s="1064"/>
      <c r="B46" s="1065"/>
      <c r="C46" s="1094"/>
      <c r="D46" s="719">
        <v>2023</v>
      </c>
      <c r="E46" s="717">
        <f>D46+1</f>
        <v>2024</v>
      </c>
      <c r="F46" s="717">
        <f t="shared" ref="F46" si="77">E46+1</f>
        <v>2025</v>
      </c>
      <c r="G46" s="717">
        <f t="shared" ref="G46" si="78">F46+1</f>
        <v>2026</v>
      </c>
      <c r="H46" s="717">
        <f t="shared" ref="H46" si="79">G46+1</f>
        <v>2027</v>
      </c>
      <c r="I46" s="717">
        <f t="shared" ref="I46" si="80">H46+1</f>
        <v>2028</v>
      </c>
      <c r="J46" s="717">
        <f t="shared" ref="J46" si="81">I46+1</f>
        <v>2029</v>
      </c>
      <c r="K46" s="717">
        <f t="shared" ref="K46" si="82">J46+1</f>
        <v>2030</v>
      </c>
      <c r="L46" s="717">
        <f t="shared" ref="L46" si="83">K46+1</f>
        <v>2031</v>
      </c>
      <c r="M46" s="717">
        <f t="shared" ref="M46" si="84">L46+1</f>
        <v>2032</v>
      </c>
      <c r="N46" s="717">
        <f t="shared" ref="N46" si="85">M46+1</f>
        <v>2033</v>
      </c>
      <c r="O46" s="717">
        <f t="shared" ref="O46" si="86">N46+1</f>
        <v>2034</v>
      </c>
      <c r="P46" s="717">
        <f t="shared" ref="P46" si="87">O46+1</f>
        <v>2035</v>
      </c>
      <c r="Q46" s="717">
        <f t="shared" ref="Q46" si="88">P46+1</f>
        <v>2036</v>
      </c>
      <c r="R46" s="717">
        <f t="shared" ref="R46" si="89">Q46+1</f>
        <v>2037</v>
      </c>
      <c r="S46" s="717">
        <f t="shared" ref="S46" si="90">R46+1</f>
        <v>2038</v>
      </c>
      <c r="T46" s="717">
        <f t="shared" ref="T46" si="91">S46+1</f>
        <v>2039</v>
      </c>
      <c r="U46" s="717">
        <f t="shared" ref="U46" si="92">T46+1</f>
        <v>2040</v>
      </c>
      <c r="V46" s="717">
        <f t="shared" ref="V46" si="93">U46+1</f>
        <v>2041</v>
      </c>
      <c r="W46" s="717">
        <f t="shared" ref="W46" si="94">V46+1</f>
        <v>2042</v>
      </c>
      <c r="X46" s="718">
        <f t="shared" ref="X46" si="95">W46+1</f>
        <v>2043</v>
      </c>
      <c r="Y46" s="1099"/>
      <c r="Z46" s="1099"/>
      <c r="AA46" s="1099"/>
      <c r="AB46" s="1099"/>
      <c r="AC46" s="1099"/>
      <c r="AD46" s="1099"/>
      <c r="AE46" s="1099"/>
      <c r="AF46" s="1099"/>
      <c r="AG46" s="1064"/>
      <c r="AH46" s="1064"/>
      <c r="AI46" s="1064"/>
      <c r="AJ46" s="1064"/>
    </row>
    <row r="47" spans="1:36" s="1066" customFormat="1" ht="21" customHeight="1" x14ac:dyDescent="0.2">
      <c r="A47" s="1064"/>
      <c r="B47" s="1070" t="s">
        <v>394</v>
      </c>
      <c r="C47" s="1095"/>
      <c r="D47" s="1096">
        <f>VLOOKUP(ROUND(D31,0),Fuel.Use.Rate!$C$13:$E$88,2)</f>
        <v>3.9100000000000003E-2</v>
      </c>
      <c r="E47" s="1096">
        <f>VLOOKUP(ROUND(E31,0),Fuel.Use.Rate!$C$13:$E$88,2)</f>
        <v>3.9399999999999998E-2</v>
      </c>
      <c r="F47" s="1096">
        <f>VLOOKUP(ROUND(F31,0),Fuel.Use.Rate!$C$13:$E$88,2)</f>
        <v>3.9399999999999998E-2</v>
      </c>
      <c r="G47" s="1096">
        <f>VLOOKUP(ROUND(G31,0),Fuel.Use.Rate!$C$13:$E$88,2)</f>
        <v>3.9699999999999999E-2</v>
      </c>
      <c r="H47" s="1096">
        <f>VLOOKUP(ROUND(H31,0),Fuel.Use.Rate!$C$13:$E$88,2)</f>
        <v>3.9699999999999999E-2</v>
      </c>
      <c r="I47" s="1096">
        <f>VLOOKUP(ROUND(I31,0),Fuel.Use.Rate!$C$13:$E$88,2)</f>
        <v>0.04</v>
      </c>
      <c r="J47" s="1096">
        <f>VLOOKUP(ROUND(J31,0),Fuel.Use.Rate!$C$13:$E$88,2)</f>
        <v>4.02E-2</v>
      </c>
      <c r="K47" s="1096">
        <f>VLOOKUP(ROUND(K31,0),Fuel.Use.Rate!$C$13:$E$88,2)</f>
        <v>4.02E-2</v>
      </c>
      <c r="L47" s="1096">
        <f>VLOOKUP(ROUND(L31,0),Fuel.Use.Rate!$C$13:$E$88,2)</f>
        <v>4.0500000000000001E-2</v>
      </c>
      <c r="M47" s="1096">
        <f>VLOOKUP(ROUND(M31,0),Fuel.Use.Rate!$C$13:$E$88,2)</f>
        <v>4.0500000000000001E-2</v>
      </c>
      <c r="N47" s="1096">
        <f>VLOOKUP(ROUND(N31,0),Fuel.Use.Rate!$C$13:$E$88,2)</f>
        <v>4.1099999999999998E-2</v>
      </c>
      <c r="O47" s="1096">
        <f>VLOOKUP(ROUND(O31,0),Fuel.Use.Rate!$C$13:$E$88,2)</f>
        <v>4.1099999999999998E-2</v>
      </c>
      <c r="P47" s="1096">
        <f>VLOOKUP(ROUND(P31,0),Fuel.Use.Rate!$C$13:$E$88,2)</f>
        <v>4.1700000000000001E-2</v>
      </c>
      <c r="Q47" s="1096">
        <f>VLOOKUP(ROUND(Q31,0),Fuel.Use.Rate!$C$13:$E$88,2)</f>
        <v>4.1700000000000001E-2</v>
      </c>
      <c r="R47" s="1096">
        <f>VLOOKUP(ROUND(R31,0),Fuel.Use.Rate!$C$13:$E$88,2)</f>
        <v>4.2299999999999997E-2</v>
      </c>
      <c r="S47" s="1096">
        <f>VLOOKUP(ROUND(S31,0),Fuel.Use.Rate!$C$13:$E$88,2)</f>
        <v>4.2299999999999997E-2</v>
      </c>
      <c r="T47" s="1096">
        <f>VLOOKUP(ROUND(T31,0),Fuel.Use.Rate!$C$13:$E$88,2)</f>
        <v>4.2900000000000001E-2</v>
      </c>
      <c r="U47" s="1096">
        <f>VLOOKUP(ROUND(U31,0),Fuel.Use.Rate!$C$13:$E$88,2)</f>
        <v>4.2900000000000001E-2</v>
      </c>
      <c r="V47" s="1096">
        <f>VLOOKUP(ROUND(V31,0),Fuel.Use.Rate!$C$13:$E$88,2)</f>
        <v>4.3499999999999997E-2</v>
      </c>
      <c r="W47" s="1096">
        <f>VLOOKUP(ROUND(W31,0),Fuel.Use.Rate!$C$13:$E$88,2)</f>
        <v>4.3499999999999997E-2</v>
      </c>
      <c r="X47" s="1096">
        <f>VLOOKUP(ROUND(X31,0),Fuel.Use.Rate!$C$13:$E$88,2)</f>
        <v>4.3499999999999997E-2</v>
      </c>
      <c r="Y47" s="1064"/>
      <c r="Z47" s="1064"/>
      <c r="AA47" s="1064"/>
      <c r="AB47" s="1064"/>
      <c r="AC47" s="1064"/>
      <c r="AD47" s="1064"/>
      <c r="AE47" s="1064"/>
      <c r="AF47" s="1064"/>
      <c r="AG47" s="1064"/>
      <c r="AH47" s="1064"/>
      <c r="AI47" s="1064"/>
      <c r="AJ47" s="1064"/>
    </row>
    <row r="48" spans="1:36" s="1066" customFormat="1" ht="21" customHeight="1" x14ac:dyDescent="0.2">
      <c r="A48" s="1064"/>
      <c r="B48" s="1076" t="s">
        <v>395</v>
      </c>
      <c r="C48" s="1095"/>
      <c r="D48" s="1096">
        <f>VLOOKUP(ROUND(D32,0),Fuel.Use.Rate!$C$13:$E$88,2)</f>
        <v>3.9100000000000003E-2</v>
      </c>
      <c r="E48" s="1096">
        <f>VLOOKUP(ROUND(E32,0),Fuel.Use.Rate!$C$13:$E$88,2)</f>
        <v>3.9399999999999998E-2</v>
      </c>
      <c r="F48" s="1096">
        <f>VLOOKUP(ROUND(F32,0),Fuel.Use.Rate!$C$13:$E$88,2)</f>
        <v>3.9399999999999998E-2</v>
      </c>
      <c r="G48" s="1096">
        <f>VLOOKUP(ROUND(G32,0),Fuel.Use.Rate!$C$13:$E$88,2)</f>
        <v>3.9699999999999999E-2</v>
      </c>
      <c r="H48" s="1096">
        <f>VLOOKUP(ROUND(H32,0),Fuel.Use.Rate!$C$13:$E$88,2)</f>
        <v>3.9699999999999999E-2</v>
      </c>
      <c r="I48" s="1096">
        <f>VLOOKUP(ROUND(I32,0),Fuel.Use.Rate!$C$13:$E$88,2)</f>
        <v>0.04</v>
      </c>
      <c r="J48" s="1096">
        <f>VLOOKUP(ROUND(J32,0),Fuel.Use.Rate!$C$13:$E$88,2)</f>
        <v>4.02E-2</v>
      </c>
      <c r="K48" s="1096">
        <f>VLOOKUP(ROUND(K32,0),Fuel.Use.Rate!$C$13:$E$88,2)</f>
        <v>4.02E-2</v>
      </c>
      <c r="L48" s="1096">
        <f>VLOOKUP(ROUND(L32,0),Fuel.Use.Rate!$C$13:$E$88,2)</f>
        <v>4.0500000000000001E-2</v>
      </c>
      <c r="M48" s="1096">
        <f>VLOOKUP(ROUND(M32,0),Fuel.Use.Rate!$C$13:$E$88,2)</f>
        <v>4.0500000000000001E-2</v>
      </c>
      <c r="N48" s="1096">
        <f>VLOOKUP(ROUND(N32,0),Fuel.Use.Rate!$C$13:$E$88,2)</f>
        <v>4.1099999999999998E-2</v>
      </c>
      <c r="O48" s="1096">
        <f>VLOOKUP(ROUND(O32,0),Fuel.Use.Rate!$C$13:$E$88,2)</f>
        <v>4.1099999999999998E-2</v>
      </c>
      <c r="P48" s="1096">
        <f>VLOOKUP(ROUND(P32,0),Fuel.Use.Rate!$C$13:$E$88,2)</f>
        <v>4.1700000000000001E-2</v>
      </c>
      <c r="Q48" s="1096">
        <f>VLOOKUP(ROUND(Q32,0),Fuel.Use.Rate!$C$13:$E$88,2)</f>
        <v>4.1700000000000001E-2</v>
      </c>
      <c r="R48" s="1096">
        <f>VLOOKUP(ROUND(R32,0),Fuel.Use.Rate!$C$13:$E$88,2)</f>
        <v>4.2299999999999997E-2</v>
      </c>
      <c r="S48" s="1096">
        <f>VLOOKUP(ROUND(S32,0),Fuel.Use.Rate!$C$13:$E$88,2)</f>
        <v>4.2299999999999997E-2</v>
      </c>
      <c r="T48" s="1096">
        <f>VLOOKUP(ROUND(T32,0),Fuel.Use.Rate!$C$13:$E$88,2)</f>
        <v>4.2900000000000001E-2</v>
      </c>
      <c r="U48" s="1096">
        <f>VLOOKUP(ROUND(U32,0),Fuel.Use.Rate!$C$13:$E$88,2)</f>
        <v>4.2900000000000001E-2</v>
      </c>
      <c r="V48" s="1096">
        <f>VLOOKUP(ROUND(V32,0),Fuel.Use.Rate!$C$13:$E$88,2)</f>
        <v>4.3499999999999997E-2</v>
      </c>
      <c r="W48" s="1096">
        <f>VLOOKUP(ROUND(W32,0),Fuel.Use.Rate!$C$13:$E$88,2)</f>
        <v>4.3499999999999997E-2</v>
      </c>
      <c r="X48" s="1096">
        <f>VLOOKUP(ROUND(X32,0),Fuel.Use.Rate!$C$13:$E$88,2)</f>
        <v>4.3499999999999997E-2</v>
      </c>
      <c r="Y48" s="1064"/>
      <c r="Z48" s="1064"/>
      <c r="AA48" s="1064"/>
      <c r="AB48" s="1064"/>
      <c r="AC48" s="1064"/>
      <c r="AD48" s="1064"/>
      <c r="AE48" s="1064"/>
      <c r="AF48" s="1064"/>
      <c r="AG48" s="1064"/>
      <c r="AH48" s="1064"/>
      <c r="AI48" s="1064"/>
      <c r="AJ48" s="1064"/>
    </row>
    <row r="49" spans="1:36" s="1066" customFormat="1" ht="21" customHeight="1" x14ac:dyDescent="0.2">
      <c r="A49" s="1064"/>
      <c r="B49" s="1076" t="s">
        <v>396</v>
      </c>
      <c r="C49" s="1095"/>
      <c r="D49" s="1096">
        <f>VLOOKUP(ROUND(D33,0),Fuel.Use.Rate!$C$13:$E$88,2)</f>
        <v>3.9100000000000003E-2</v>
      </c>
      <c r="E49" s="1096">
        <f>VLOOKUP(ROUND(E33,0),Fuel.Use.Rate!$C$13:$E$88,2)</f>
        <v>3.9399999999999998E-2</v>
      </c>
      <c r="F49" s="1096">
        <f>VLOOKUP(ROUND(F33,0),Fuel.Use.Rate!$C$13:$E$88,2)</f>
        <v>3.9399999999999998E-2</v>
      </c>
      <c r="G49" s="1096">
        <f>VLOOKUP(ROUND(G33,0),Fuel.Use.Rate!$C$13:$E$88,2)</f>
        <v>3.9699999999999999E-2</v>
      </c>
      <c r="H49" s="1096">
        <f>VLOOKUP(ROUND(H33,0),Fuel.Use.Rate!$C$13:$E$88,2)</f>
        <v>3.9699999999999999E-2</v>
      </c>
      <c r="I49" s="1096">
        <f>VLOOKUP(ROUND(I33,0),Fuel.Use.Rate!$C$13:$E$88,2)</f>
        <v>0.04</v>
      </c>
      <c r="J49" s="1096">
        <f>VLOOKUP(ROUND(J33,0),Fuel.Use.Rate!$C$13:$E$88,2)</f>
        <v>4.02E-2</v>
      </c>
      <c r="K49" s="1096">
        <f>VLOOKUP(ROUND(K33,0),Fuel.Use.Rate!$C$13:$E$88,2)</f>
        <v>4.02E-2</v>
      </c>
      <c r="L49" s="1096">
        <f>VLOOKUP(ROUND(L33,0),Fuel.Use.Rate!$C$13:$E$88,2)</f>
        <v>4.0500000000000001E-2</v>
      </c>
      <c r="M49" s="1096">
        <f>VLOOKUP(ROUND(M33,0),Fuel.Use.Rate!$C$13:$E$88,2)</f>
        <v>4.0500000000000001E-2</v>
      </c>
      <c r="N49" s="1096">
        <f>VLOOKUP(ROUND(N33,0),Fuel.Use.Rate!$C$13:$E$88,2)</f>
        <v>4.1099999999999998E-2</v>
      </c>
      <c r="O49" s="1096">
        <f>VLOOKUP(ROUND(O33,0),Fuel.Use.Rate!$C$13:$E$88,2)</f>
        <v>4.1099999999999998E-2</v>
      </c>
      <c r="P49" s="1096">
        <f>VLOOKUP(ROUND(P33,0),Fuel.Use.Rate!$C$13:$E$88,2)</f>
        <v>4.1700000000000001E-2</v>
      </c>
      <c r="Q49" s="1096">
        <f>VLOOKUP(ROUND(Q33,0),Fuel.Use.Rate!$C$13:$E$88,2)</f>
        <v>4.1700000000000001E-2</v>
      </c>
      <c r="R49" s="1096">
        <f>VLOOKUP(ROUND(R33,0),Fuel.Use.Rate!$C$13:$E$88,2)</f>
        <v>4.2299999999999997E-2</v>
      </c>
      <c r="S49" s="1096">
        <f>VLOOKUP(ROUND(S33,0),Fuel.Use.Rate!$C$13:$E$88,2)</f>
        <v>4.2299999999999997E-2</v>
      </c>
      <c r="T49" s="1096">
        <f>VLOOKUP(ROUND(T33,0),Fuel.Use.Rate!$C$13:$E$88,2)</f>
        <v>4.2900000000000001E-2</v>
      </c>
      <c r="U49" s="1096">
        <f>VLOOKUP(ROUND(U33,0),Fuel.Use.Rate!$C$13:$E$88,2)</f>
        <v>4.2900000000000001E-2</v>
      </c>
      <c r="V49" s="1096">
        <f>VLOOKUP(ROUND(V33,0),Fuel.Use.Rate!$C$13:$E$88,2)</f>
        <v>4.3499999999999997E-2</v>
      </c>
      <c r="W49" s="1096">
        <f>VLOOKUP(ROUND(W33,0),Fuel.Use.Rate!$C$13:$E$88,2)</f>
        <v>4.3499999999999997E-2</v>
      </c>
      <c r="X49" s="1096">
        <f>VLOOKUP(ROUND(X33,0),Fuel.Use.Rate!$C$13:$E$88,2)</f>
        <v>4.3499999999999997E-2</v>
      </c>
      <c r="Y49" s="1064"/>
      <c r="Z49" s="1064"/>
      <c r="AA49" s="1064"/>
      <c r="AB49" s="1064"/>
      <c r="AC49" s="1064"/>
      <c r="AD49" s="1064"/>
      <c r="AE49" s="1064"/>
      <c r="AF49" s="1064"/>
      <c r="AG49" s="1064"/>
      <c r="AH49" s="1064"/>
      <c r="AI49" s="1064"/>
      <c r="AJ49" s="1064"/>
    </row>
    <row r="50" spans="1:36" s="1066" customFormat="1" ht="21" customHeight="1" x14ac:dyDescent="0.3">
      <c r="A50" s="1064"/>
      <c r="B50" s="1081" t="s">
        <v>140</v>
      </c>
      <c r="C50" s="1095"/>
      <c r="D50" s="1096">
        <f>VLOOKUP(ROUND(D34,0),Fuel.Use.Rate!$C$13:$E$88,3)</f>
        <v>5.96E-2</v>
      </c>
      <c r="E50" s="1096">
        <f>VLOOKUP(ROUND(E34,0),Fuel.Use.Rate!$C$13:$E$88,3)</f>
        <v>0.06</v>
      </c>
      <c r="F50" s="1096">
        <f>VLOOKUP(ROUND(F34,0),Fuel.Use.Rate!$C$13:$E$88,3)</f>
        <v>0.06</v>
      </c>
      <c r="G50" s="1096">
        <f>VLOOKUP(ROUND(G34,0),Fuel.Use.Rate!$C$13:$E$88,3)</f>
        <v>0.06</v>
      </c>
      <c r="H50" s="1096">
        <f>VLOOKUP(ROUND(H34,0),Fuel.Use.Rate!$C$13:$E$88,3)</f>
        <v>6.0400000000000002E-2</v>
      </c>
      <c r="I50" s="1096">
        <f>VLOOKUP(ROUND(I34,0),Fuel.Use.Rate!$C$13:$E$88,3)</f>
        <v>6.0400000000000002E-2</v>
      </c>
      <c r="J50" s="1096">
        <f>VLOOKUP(ROUND(J34,0),Fuel.Use.Rate!$C$13:$E$88,3)</f>
        <v>6.0900000000000003E-2</v>
      </c>
      <c r="K50" s="1096">
        <f>VLOOKUP(ROUND(K34,0),Fuel.Use.Rate!$C$13:$E$88,3)</f>
        <v>6.0900000000000003E-2</v>
      </c>
      <c r="L50" s="1096">
        <f>VLOOKUP(ROUND(L34,0),Fuel.Use.Rate!$C$13:$E$88,3)</f>
        <v>6.13E-2</v>
      </c>
      <c r="M50" s="1096">
        <f>VLOOKUP(ROUND(M34,0),Fuel.Use.Rate!$C$13:$E$88,3)</f>
        <v>6.13E-2</v>
      </c>
      <c r="N50" s="1096">
        <f>VLOOKUP(ROUND(N34,0),Fuel.Use.Rate!$C$13:$E$88,3)</f>
        <v>6.13E-2</v>
      </c>
      <c r="O50" s="1096">
        <f>VLOOKUP(ROUND(O34,0),Fuel.Use.Rate!$C$13:$E$88,3)</f>
        <v>6.1699999999999998E-2</v>
      </c>
      <c r="P50" s="1096">
        <f>VLOOKUP(ROUND(P34,0),Fuel.Use.Rate!$C$13:$E$88,3)</f>
        <v>6.1699999999999998E-2</v>
      </c>
      <c r="Q50" s="1096">
        <f>VLOOKUP(ROUND(Q34,0),Fuel.Use.Rate!$C$13:$E$88,3)</f>
        <v>6.2600000000000003E-2</v>
      </c>
      <c r="R50" s="1096">
        <f>VLOOKUP(ROUND(R34,0),Fuel.Use.Rate!$C$13:$E$88,3)</f>
        <v>6.2600000000000003E-2</v>
      </c>
      <c r="S50" s="1096">
        <f>VLOOKUP(ROUND(S34,0),Fuel.Use.Rate!$C$13:$E$88,3)</f>
        <v>6.3500000000000001E-2</v>
      </c>
      <c r="T50" s="1096">
        <f>VLOOKUP(ROUND(T34,0),Fuel.Use.Rate!$C$13:$E$88,3)</f>
        <v>6.3500000000000001E-2</v>
      </c>
      <c r="U50" s="1096">
        <f>VLOOKUP(ROUND(U34,0),Fuel.Use.Rate!$C$13:$E$88,3)</f>
        <v>6.3500000000000001E-2</v>
      </c>
      <c r="V50" s="1096">
        <f>VLOOKUP(ROUND(V34,0),Fuel.Use.Rate!$C$13:$E$88,3)</f>
        <v>6.4500000000000002E-2</v>
      </c>
      <c r="W50" s="1096">
        <f>VLOOKUP(ROUND(W34,0),Fuel.Use.Rate!$C$13:$E$88,3)</f>
        <v>6.4500000000000002E-2</v>
      </c>
      <c r="X50" s="1096">
        <f>VLOOKUP(ROUND(X34,0),Fuel.Use.Rate!$C$13:$E$88,3)</f>
        <v>6.4500000000000002E-2</v>
      </c>
      <c r="Y50" s="1064"/>
      <c r="Z50" s="1064"/>
      <c r="AA50" s="1064"/>
      <c r="AB50" s="1064"/>
      <c r="AC50" s="1064"/>
      <c r="AD50" s="1064"/>
      <c r="AE50" s="1064"/>
      <c r="AF50" s="1064"/>
      <c r="AG50" s="1064"/>
      <c r="AH50" s="1064"/>
      <c r="AI50" s="1064"/>
      <c r="AJ50" s="1064"/>
    </row>
    <row r="51" spans="1:36" s="1066" customFormat="1" ht="15" customHeight="1" x14ac:dyDescent="0.25">
      <c r="A51" s="1064"/>
      <c r="B51" s="1065"/>
      <c r="Y51" s="1064"/>
      <c r="Z51" s="1064"/>
      <c r="AA51" s="1064"/>
      <c r="AB51" s="1064"/>
      <c r="AC51" s="1064"/>
      <c r="AD51" s="1064"/>
      <c r="AE51" s="1064"/>
      <c r="AF51" s="1064"/>
      <c r="AG51" s="1064"/>
      <c r="AH51" s="1064"/>
      <c r="AI51" s="1064"/>
      <c r="AJ51" s="1064"/>
    </row>
    <row r="52" spans="1:36" s="1066" customFormat="1" ht="26.25" x14ac:dyDescent="0.4">
      <c r="A52" s="1064"/>
      <c r="B52" s="1091" t="s">
        <v>544</v>
      </c>
      <c r="C52" s="1092"/>
      <c r="D52" s="1092"/>
      <c r="E52" s="1092"/>
      <c r="F52" s="1092"/>
      <c r="G52" s="1092"/>
      <c r="H52" s="1092"/>
      <c r="I52" s="1092"/>
      <c r="J52" s="1092"/>
      <c r="K52" s="1092"/>
      <c r="L52" s="1092"/>
      <c r="M52" s="1092"/>
      <c r="N52" s="1092"/>
      <c r="O52" s="1092"/>
      <c r="P52" s="1092"/>
      <c r="Q52" s="1092"/>
      <c r="R52" s="1092"/>
      <c r="S52" s="1092"/>
      <c r="T52" s="1092"/>
      <c r="U52" s="1092"/>
      <c r="V52" s="1092"/>
      <c r="W52" s="1092"/>
      <c r="X52" s="1092"/>
      <c r="Y52" s="1064"/>
      <c r="Z52" s="1064"/>
      <c r="AA52" s="1064"/>
      <c r="AB52" s="1064"/>
      <c r="AC52" s="1064"/>
      <c r="AD52" s="1064"/>
      <c r="AE52" s="1064"/>
      <c r="AF52" s="1064"/>
      <c r="AG52" s="1064"/>
      <c r="AH52" s="1064"/>
      <c r="AI52" s="1064"/>
      <c r="AJ52" s="1064"/>
    </row>
    <row r="53" spans="1:36" s="1101" customFormat="1" ht="24.9" customHeight="1" x14ac:dyDescent="0.25">
      <c r="A53" s="1100"/>
      <c r="B53" s="1065" t="s">
        <v>902</v>
      </c>
      <c r="D53" s="1495">
        <f>'Build.vs.No-Build'!F73</f>
        <v>3.7796892675329747</v>
      </c>
      <c r="E53" s="1495">
        <f>'Build.vs.No-Build'!G73</f>
        <v>3.7785945995504666</v>
      </c>
      <c r="F53" s="1495">
        <f>'Build.vs.No-Build'!H73</f>
        <v>3.7774998704808898</v>
      </c>
      <c r="G53" s="1495">
        <f>'Build.vs.No-Build'!I73</f>
        <v>3.7764050728558587</v>
      </c>
      <c r="H53" s="1495">
        <f>'Build.vs.No-Build'!J73</f>
        <v>3.7753101992715594</v>
      </c>
      <c r="I53" s="1495">
        <f>'Build.vs.No-Build'!K73</f>
        <v>3.7742152423890785</v>
      </c>
      <c r="J53" s="1495">
        <f>'Build.vs.No-Build'!L73</f>
        <v>3.7731201949347253</v>
      </c>
      <c r="K53" s="1495">
        <f>'Build.vs.No-Build'!M73</f>
        <v>3.7720250497003316</v>
      </c>
      <c r="L53" s="1495">
        <f>'Build.vs.No-Build'!N73</f>
        <v>3.7709297995435582</v>
      </c>
      <c r="M53" s="1495">
        <f>'Build.vs.No-Build'!O73</f>
        <v>3.7698344373881674</v>
      </c>
      <c r="N53" s="1495">
        <f>'Build.vs.No-Build'!P73</f>
        <v>3.7687389562242992</v>
      </c>
      <c r="O53" s="1495">
        <f>'Build.vs.No-Build'!Q73</f>
        <v>3.76764334910873</v>
      </c>
      <c r="P53" s="1495">
        <f>'Build.vs.No-Build'!R73</f>
        <v>3.7665476091651269</v>
      </c>
      <c r="Q53" s="1495">
        <f>'Build.vs.No-Build'!S73</f>
        <v>3.7654517295842691</v>
      </c>
      <c r="R53" s="1495">
        <f>'Build.vs.No-Build'!T73</f>
        <v>3.7643557036242905</v>
      </c>
      <c r="S53" s="1495">
        <f>'Build.vs.No-Build'!U73</f>
        <v>3.7632595246108789</v>
      </c>
      <c r="T53" s="1495">
        <f>'Build.vs.No-Build'!V73</f>
        <v>3.7621631859374909</v>
      </c>
      <c r="U53" s="1495">
        <f>'Build.vs.No-Build'!W73</f>
        <v>3.761066681065532</v>
      </c>
      <c r="V53" s="1495">
        <f>'Build.vs.No-Build'!X73</f>
        <v>3.7599700035245402</v>
      </c>
      <c r="W53" s="1495">
        <f>'Build.vs.No-Build'!Y73</f>
        <v>3.7588731469123569</v>
      </c>
      <c r="X53" s="1495">
        <f>'Build.vs.No-Build'!Z73</f>
        <v>3.7577761048952816</v>
      </c>
      <c r="Y53" s="1100"/>
      <c r="Z53" s="1100"/>
      <c r="AA53" s="1100"/>
      <c r="AB53" s="1100"/>
      <c r="AC53" s="1100"/>
      <c r="AD53" s="1100"/>
      <c r="AE53" s="1100"/>
      <c r="AF53" s="1100"/>
      <c r="AG53" s="1100"/>
      <c r="AH53" s="1100"/>
      <c r="AI53" s="1100"/>
      <c r="AJ53" s="1100"/>
    </row>
    <row r="54" spans="1:36" s="1066" customFormat="1" ht="20.25" x14ac:dyDescent="0.25">
      <c r="A54" s="1064"/>
      <c r="B54" s="1065" t="s">
        <v>903</v>
      </c>
      <c r="D54" s="1495">
        <f>'Build.vs.No-Build'!F81</f>
        <v>3.9532789199926639</v>
      </c>
      <c r="E54" s="1495">
        <f>'Build.vs.No-Build'!G81</f>
        <v>3.9555967818931785</v>
      </c>
      <c r="F54" s="1495">
        <f>'Build.vs.No-Build'!H81</f>
        <v>3.9579280595792925</v>
      </c>
      <c r="G54" s="1495">
        <f>'Build.vs.No-Build'!I81</f>
        <v>3.9602729511501393</v>
      </c>
      <c r="H54" s="1495">
        <f>'Build.vs.No-Build'!J81</f>
        <v>3.9626316570370239</v>
      </c>
      <c r="I54" s="1495">
        <f>'Build.vs.No-Build'!K81</f>
        <v>3.96500438001897</v>
      </c>
      <c r="J54" s="1495">
        <f>'Build.vs.No-Build'!L81</f>
        <v>3.9673913252381334</v>
      </c>
      <c r="K54" s="1495">
        <f>'Build.vs.No-Build'!M81</f>
        <v>3.9697927002150695</v>
      </c>
      <c r="L54" s="1495">
        <f>'Build.vs.No-Build'!N81</f>
        <v>3.9722087148638248</v>
      </c>
      <c r="M54" s="1495">
        <f>'Build.vs.No-Build'!O81</f>
        <v>3.9746395815068891</v>
      </c>
      <c r="N54" s="1495">
        <f>'Build.vs.No-Build'!P81</f>
        <v>3.977085514889954</v>
      </c>
      <c r="O54" s="1495">
        <f>'Build.vs.No-Build'!Q81</f>
        <v>3.9795467321965066</v>
      </c>
      <c r="P54" s="1495">
        <f>'Build.vs.No-Build'!R81</f>
        <v>3.9820234530622236</v>
      </c>
      <c r="Q54" s="1495">
        <f>'Build.vs.No-Build'!S81</f>
        <v>3.9845158995891743</v>
      </c>
      <c r="R54" s="1495">
        <f>'Build.vs.No-Build'!T81</f>
        <v>3.9870242963598193</v>
      </c>
      <c r="S54" s="1495">
        <f>'Build.vs.No-Build'!U81</f>
        <v>3.9895488704507915</v>
      </c>
      <c r="T54" s="1495">
        <f>'Build.vs.No-Build'!V81</f>
        <v>3.9920898514464667</v>
      </c>
      <c r="U54" s="1495">
        <f>'Build.vs.No-Build'!W81</f>
        <v>3.9946474714522866</v>
      </c>
      <c r="V54" s="1495">
        <f>'Build.vs.No-Build'!X81</f>
        <v>3.9972219651078542</v>
      </c>
      <c r="W54" s="1495">
        <f>'Build.vs.No-Build'!Y81</f>
        <v>3.9998135695997798</v>
      </c>
      <c r="X54" s="1495">
        <f>'Build.vs.No-Build'!Z81</f>
        <v>4.0024225246742704</v>
      </c>
      <c r="Y54" s="1064"/>
      <c r="Z54" s="1064"/>
      <c r="AA54" s="1064"/>
      <c r="AB54" s="1064"/>
      <c r="AC54" s="1064"/>
      <c r="AD54" s="1064"/>
      <c r="AE54" s="1064"/>
      <c r="AF54" s="1064"/>
      <c r="AG54" s="1064"/>
      <c r="AH54" s="1064"/>
      <c r="AI54" s="1064"/>
      <c r="AJ54" s="1064"/>
    </row>
    <row r="55" spans="1:36" s="1066" customFormat="1" ht="25.5" x14ac:dyDescent="0.25">
      <c r="A55" s="1064"/>
      <c r="B55" s="1065"/>
      <c r="D55" s="1090"/>
      <c r="E55" s="1090"/>
      <c r="F55" s="1090"/>
      <c r="G55" s="1103"/>
      <c r="H55" s="1103"/>
      <c r="I55" s="1103"/>
      <c r="J55" s="1103"/>
      <c r="K55" s="1103"/>
      <c r="L55" s="1103"/>
      <c r="M55" s="1103"/>
      <c r="N55" s="1103"/>
      <c r="O55" s="1103"/>
      <c r="P55" s="1103"/>
      <c r="Q55" s="1103"/>
      <c r="R55" s="1103"/>
      <c r="S55" s="1103"/>
      <c r="T55" s="1103"/>
      <c r="U55" s="1103"/>
      <c r="V55" s="1103"/>
      <c r="W55" s="1103"/>
      <c r="X55" s="1103"/>
      <c r="Y55" s="1064"/>
      <c r="Z55" s="1064"/>
      <c r="AA55" s="1064"/>
      <c r="AB55" s="1064"/>
      <c r="AC55" s="1064"/>
      <c r="AD55" s="1064"/>
      <c r="AE55" s="1064"/>
      <c r="AF55" s="1064"/>
      <c r="AG55" s="1064"/>
      <c r="AH55" s="1064"/>
      <c r="AI55" s="1064"/>
      <c r="AJ55" s="1064"/>
    </row>
    <row r="56" spans="1:36" s="1066" customFormat="1" ht="27" thickBot="1" x14ac:dyDescent="0.45">
      <c r="A56" s="1064"/>
      <c r="B56" s="1104"/>
      <c r="C56" s="1105"/>
      <c r="D56" s="1841" t="s">
        <v>615</v>
      </c>
      <c r="E56" s="1841"/>
      <c r="F56" s="1841"/>
      <c r="G56" s="1841"/>
      <c r="H56" s="1841"/>
      <c r="I56" s="1841"/>
      <c r="J56" s="1841"/>
      <c r="K56" s="1841"/>
      <c r="L56" s="1841"/>
      <c r="M56" s="1841"/>
      <c r="N56" s="1841"/>
      <c r="O56" s="1841"/>
      <c r="P56" s="1841"/>
      <c r="Q56" s="1841"/>
      <c r="R56" s="1841"/>
      <c r="S56" s="1841"/>
      <c r="T56" s="1841"/>
      <c r="U56" s="1841"/>
      <c r="V56" s="1841"/>
      <c r="W56" s="1841"/>
      <c r="X56" s="1841"/>
      <c r="Y56" s="1099"/>
      <c r="Z56" s="1099"/>
      <c r="AA56" s="1099"/>
      <c r="AB56" s="1099"/>
      <c r="AC56" s="1099"/>
      <c r="AD56" s="1099"/>
      <c r="AE56" s="1099"/>
      <c r="AF56" s="1099"/>
      <c r="AG56" s="1064"/>
      <c r="AH56" s="1064"/>
      <c r="AI56" s="1064"/>
      <c r="AJ56" s="1064"/>
    </row>
    <row r="57" spans="1:36" s="1066" customFormat="1" ht="20.100000000000001" customHeight="1" x14ac:dyDescent="0.25">
      <c r="A57" s="1064"/>
      <c r="B57" s="1106"/>
      <c r="C57" s="1094"/>
      <c r="D57" s="719">
        <v>2023</v>
      </c>
      <c r="E57" s="717">
        <f>D57+1</f>
        <v>2024</v>
      </c>
      <c r="F57" s="717">
        <f t="shared" ref="F57" si="96">E57+1</f>
        <v>2025</v>
      </c>
      <c r="G57" s="717">
        <f t="shared" ref="G57" si="97">F57+1</f>
        <v>2026</v>
      </c>
      <c r="H57" s="717">
        <f t="shared" ref="H57" si="98">G57+1</f>
        <v>2027</v>
      </c>
      <c r="I57" s="717">
        <f t="shared" ref="I57" si="99">H57+1</f>
        <v>2028</v>
      </c>
      <c r="J57" s="717">
        <f t="shared" ref="J57" si="100">I57+1</f>
        <v>2029</v>
      </c>
      <c r="K57" s="717">
        <f t="shared" ref="K57" si="101">J57+1</f>
        <v>2030</v>
      </c>
      <c r="L57" s="717">
        <f t="shared" ref="L57" si="102">K57+1</f>
        <v>2031</v>
      </c>
      <c r="M57" s="717">
        <f t="shared" ref="M57" si="103">L57+1</f>
        <v>2032</v>
      </c>
      <c r="N57" s="717">
        <f t="shared" ref="N57" si="104">M57+1</f>
        <v>2033</v>
      </c>
      <c r="O57" s="717">
        <f t="shared" ref="O57" si="105">N57+1</f>
        <v>2034</v>
      </c>
      <c r="P57" s="717">
        <f t="shared" ref="P57" si="106">O57+1</f>
        <v>2035</v>
      </c>
      <c r="Q57" s="717">
        <f t="shared" ref="Q57" si="107">P57+1</f>
        <v>2036</v>
      </c>
      <c r="R57" s="717">
        <f t="shared" ref="R57" si="108">Q57+1</f>
        <v>2037</v>
      </c>
      <c r="S57" s="717">
        <f t="shared" ref="S57" si="109">R57+1</f>
        <v>2038</v>
      </c>
      <c r="T57" s="717">
        <f t="shared" ref="T57" si="110">S57+1</f>
        <v>2039</v>
      </c>
      <c r="U57" s="717">
        <f t="shared" ref="U57" si="111">T57+1</f>
        <v>2040</v>
      </c>
      <c r="V57" s="717">
        <f t="shared" ref="V57" si="112">U57+1</f>
        <v>2041</v>
      </c>
      <c r="W57" s="717">
        <f t="shared" ref="W57" si="113">V57+1</f>
        <v>2042</v>
      </c>
      <c r="X57" s="718">
        <f t="shared" ref="X57" si="114">W57+1</f>
        <v>2043</v>
      </c>
      <c r="Y57" s="1064"/>
      <c r="Z57" s="1064"/>
      <c r="AA57" s="1064"/>
      <c r="AB57" s="1064"/>
      <c r="AC57" s="1064"/>
      <c r="AD57" s="1064"/>
      <c r="AE57" s="1064"/>
      <c r="AF57" s="1064"/>
      <c r="AG57" s="1064"/>
      <c r="AH57" s="1064"/>
      <c r="AI57" s="1064"/>
      <c r="AJ57" s="1064"/>
    </row>
    <row r="58" spans="1:36" s="1066" customFormat="1" ht="20.100000000000001" customHeight="1" x14ac:dyDescent="0.2">
      <c r="A58" s="1064"/>
      <c r="B58" s="1070" t="s">
        <v>394</v>
      </c>
      <c r="C58" s="1095"/>
      <c r="D58" s="1107">
        <f>D40*$D$53</f>
        <v>0.15534522889560526</v>
      </c>
      <c r="E58" s="1107">
        <f t="shared" ref="E58:X58" si="115">E40*$D$53</f>
        <v>0.15761304245612506</v>
      </c>
      <c r="F58" s="1107">
        <f t="shared" si="115"/>
        <v>0.16214866957716462</v>
      </c>
      <c r="G58" s="1107">
        <f t="shared" si="115"/>
        <v>0.16441648313768439</v>
      </c>
      <c r="H58" s="1107">
        <f t="shared" si="115"/>
        <v>0.16819617240521736</v>
      </c>
      <c r="I58" s="1107">
        <f t="shared" si="115"/>
        <v>0.17197586167275034</v>
      </c>
      <c r="J58" s="1107">
        <f t="shared" si="115"/>
        <v>0.17575555094028333</v>
      </c>
      <c r="K58" s="1107">
        <f t="shared" si="115"/>
        <v>0.1795352402078163</v>
      </c>
      <c r="L58" s="1107">
        <f t="shared" si="115"/>
        <v>0.18331492947534928</v>
      </c>
      <c r="M58" s="1107">
        <f t="shared" si="115"/>
        <v>0.18898446337664876</v>
      </c>
      <c r="N58" s="1107">
        <f t="shared" si="115"/>
        <v>0.19465399727794819</v>
      </c>
      <c r="O58" s="1107">
        <f t="shared" si="115"/>
        <v>0.19994556225249438</v>
      </c>
      <c r="P58" s="1107">
        <f t="shared" si="115"/>
        <v>0.19994556225249438</v>
      </c>
      <c r="Q58" s="1107">
        <f t="shared" si="115"/>
        <v>0.20561509615379381</v>
      </c>
      <c r="R58" s="1107">
        <f t="shared" si="115"/>
        <v>0.21128463005509329</v>
      </c>
      <c r="S58" s="1107">
        <f t="shared" si="115"/>
        <v>0.21959994644366582</v>
      </c>
      <c r="T58" s="1107">
        <f t="shared" si="115"/>
        <v>0.22791526283223837</v>
      </c>
      <c r="U58" s="1107">
        <f t="shared" si="115"/>
        <v>0.22791526283223837</v>
      </c>
      <c r="V58" s="1107">
        <f t="shared" si="115"/>
        <v>0.23660854814756424</v>
      </c>
      <c r="W58" s="1107">
        <f t="shared" si="115"/>
        <v>0.24492386453613674</v>
      </c>
      <c r="X58" s="1107">
        <f t="shared" si="115"/>
        <v>0.24492386453613674</v>
      </c>
      <c r="Y58" s="1064"/>
      <c r="Z58" s="1064"/>
      <c r="AA58" s="1064"/>
      <c r="AB58" s="1064"/>
      <c r="AC58" s="1064"/>
      <c r="AD58" s="1064"/>
      <c r="AE58" s="1064"/>
      <c r="AF58" s="1064"/>
      <c r="AG58" s="1064"/>
      <c r="AH58" s="1064"/>
      <c r="AI58" s="1064"/>
      <c r="AJ58" s="1064"/>
    </row>
    <row r="59" spans="1:36" s="1066" customFormat="1" ht="20.100000000000001" customHeight="1" x14ac:dyDescent="0.2">
      <c r="A59" s="1064"/>
      <c r="B59" s="1076" t="s">
        <v>395</v>
      </c>
      <c r="C59" s="1095"/>
      <c r="D59" s="1107">
        <f>D41*$D$53</f>
        <v>0.15534522889560526</v>
      </c>
      <c r="E59" s="1107">
        <f t="shared" ref="E59:X59" si="116">E41*$D$53</f>
        <v>0.15761304245612506</v>
      </c>
      <c r="F59" s="1107">
        <f t="shared" si="116"/>
        <v>0.16214866957716462</v>
      </c>
      <c r="G59" s="1107">
        <f t="shared" si="116"/>
        <v>0.16441648313768439</v>
      </c>
      <c r="H59" s="1107">
        <f t="shared" si="116"/>
        <v>0.16819617240521736</v>
      </c>
      <c r="I59" s="1107">
        <f t="shared" si="116"/>
        <v>0.17197586167275034</v>
      </c>
      <c r="J59" s="1107">
        <f t="shared" si="116"/>
        <v>0.17575555094028333</v>
      </c>
      <c r="K59" s="1107">
        <f t="shared" si="116"/>
        <v>0.1795352402078163</v>
      </c>
      <c r="L59" s="1107">
        <f t="shared" si="116"/>
        <v>0.18331492947534928</v>
      </c>
      <c r="M59" s="1107">
        <f t="shared" si="116"/>
        <v>0.18898446337664876</v>
      </c>
      <c r="N59" s="1107">
        <f t="shared" si="116"/>
        <v>0.19465399727794819</v>
      </c>
      <c r="O59" s="1107">
        <f t="shared" si="116"/>
        <v>0.19994556225249438</v>
      </c>
      <c r="P59" s="1107">
        <f t="shared" si="116"/>
        <v>0.19994556225249438</v>
      </c>
      <c r="Q59" s="1107">
        <f t="shared" si="116"/>
        <v>0.20561509615379381</v>
      </c>
      <c r="R59" s="1107">
        <f t="shared" si="116"/>
        <v>0.21128463005509329</v>
      </c>
      <c r="S59" s="1107">
        <f t="shared" si="116"/>
        <v>0.21959994644366582</v>
      </c>
      <c r="T59" s="1107">
        <f t="shared" si="116"/>
        <v>0.22791526283223837</v>
      </c>
      <c r="U59" s="1107">
        <f t="shared" si="116"/>
        <v>0.22791526283223837</v>
      </c>
      <c r="V59" s="1107">
        <f t="shared" si="116"/>
        <v>0.23660854814756424</v>
      </c>
      <c r="W59" s="1107">
        <f t="shared" si="116"/>
        <v>0.24492386453613674</v>
      </c>
      <c r="X59" s="1107">
        <f t="shared" si="116"/>
        <v>0.24492386453613674</v>
      </c>
      <c r="Y59" s="1064"/>
      <c r="Z59" s="1064"/>
      <c r="AA59" s="1064"/>
      <c r="AB59" s="1064"/>
      <c r="AC59" s="1064"/>
      <c r="AD59" s="1064"/>
      <c r="AE59" s="1064"/>
      <c r="AF59" s="1064"/>
      <c r="AG59" s="1064"/>
      <c r="AH59" s="1064"/>
      <c r="AI59" s="1064"/>
      <c r="AJ59" s="1064"/>
    </row>
    <row r="60" spans="1:36" s="1066" customFormat="1" ht="20.100000000000001" customHeight="1" x14ac:dyDescent="0.2">
      <c r="A60" s="1064"/>
      <c r="B60" s="1076" t="s">
        <v>396</v>
      </c>
      <c r="C60" s="1095"/>
      <c r="D60" s="1107">
        <f>D42*$D$53</f>
        <v>0.15534522889560526</v>
      </c>
      <c r="E60" s="1107">
        <f t="shared" ref="E60:X60" si="117">E42*$D$53</f>
        <v>0.15761304245612506</v>
      </c>
      <c r="F60" s="1107">
        <f t="shared" si="117"/>
        <v>0.16214866957716462</v>
      </c>
      <c r="G60" s="1107">
        <f t="shared" si="117"/>
        <v>0.16441648313768439</v>
      </c>
      <c r="H60" s="1107">
        <f t="shared" si="117"/>
        <v>0.16819617240521736</v>
      </c>
      <c r="I60" s="1107">
        <f t="shared" si="117"/>
        <v>0.17197586167275034</v>
      </c>
      <c r="J60" s="1107">
        <f t="shared" si="117"/>
        <v>0.17575555094028333</v>
      </c>
      <c r="K60" s="1107">
        <f t="shared" si="117"/>
        <v>0.1795352402078163</v>
      </c>
      <c r="L60" s="1107">
        <f t="shared" si="117"/>
        <v>0.18331492947534928</v>
      </c>
      <c r="M60" s="1107">
        <f t="shared" si="117"/>
        <v>0.18898446337664876</v>
      </c>
      <c r="N60" s="1107">
        <f t="shared" si="117"/>
        <v>0.19465399727794819</v>
      </c>
      <c r="O60" s="1107">
        <f t="shared" si="117"/>
        <v>0.19994556225249438</v>
      </c>
      <c r="P60" s="1107">
        <f t="shared" si="117"/>
        <v>0.19994556225249438</v>
      </c>
      <c r="Q60" s="1107">
        <f t="shared" si="117"/>
        <v>0.20561509615379381</v>
      </c>
      <c r="R60" s="1107">
        <f t="shared" si="117"/>
        <v>0.21128463005509329</v>
      </c>
      <c r="S60" s="1107">
        <f t="shared" si="117"/>
        <v>0.21959994644366582</v>
      </c>
      <c r="T60" s="1107">
        <f t="shared" si="117"/>
        <v>0.22791526283223837</v>
      </c>
      <c r="U60" s="1107">
        <f t="shared" si="117"/>
        <v>0.22791526283223837</v>
      </c>
      <c r="V60" s="1107">
        <f t="shared" si="117"/>
        <v>0.23660854814756424</v>
      </c>
      <c r="W60" s="1107">
        <f t="shared" si="117"/>
        <v>0.24492386453613674</v>
      </c>
      <c r="X60" s="1107">
        <f t="shared" si="117"/>
        <v>0.24492386453613674</v>
      </c>
      <c r="Y60" s="1064"/>
      <c r="Z60" s="1064"/>
      <c r="AA60" s="1064"/>
      <c r="AB60" s="1064"/>
      <c r="AC60" s="1064"/>
      <c r="AD60" s="1064"/>
      <c r="AE60" s="1064"/>
      <c r="AF60" s="1064"/>
      <c r="AG60" s="1064"/>
      <c r="AH60" s="1064"/>
      <c r="AI60" s="1064"/>
      <c r="AJ60" s="1064"/>
    </row>
    <row r="61" spans="1:36" s="1066" customFormat="1" ht="20.100000000000001" customHeight="1" thickBot="1" x14ac:dyDescent="0.25">
      <c r="A61" s="1064"/>
      <c r="B61" s="1108" t="s">
        <v>140</v>
      </c>
      <c r="C61" s="1095"/>
      <c r="D61" s="1107">
        <f>D43*$D$53</f>
        <v>0.23660854814756424</v>
      </c>
      <c r="E61" s="1107">
        <f t="shared" ref="E61:X61" si="118">E43*$D$53</f>
        <v>0.24378995775587689</v>
      </c>
      <c r="F61" s="1107">
        <f t="shared" si="118"/>
        <v>0.24719167809665654</v>
      </c>
      <c r="G61" s="1107">
        <f t="shared" si="118"/>
        <v>0.25059339843743622</v>
      </c>
      <c r="H61" s="1107">
        <f t="shared" si="118"/>
        <v>0.2562629323387357</v>
      </c>
      <c r="I61" s="1107">
        <f t="shared" si="118"/>
        <v>0.26193246624003513</v>
      </c>
      <c r="J61" s="1107">
        <f t="shared" si="118"/>
        <v>0.26760200014133462</v>
      </c>
      <c r="K61" s="1107">
        <f t="shared" si="118"/>
        <v>0.2732715340426341</v>
      </c>
      <c r="L61" s="1107">
        <f t="shared" si="118"/>
        <v>0.27894106794393353</v>
      </c>
      <c r="M61" s="1107">
        <f t="shared" si="118"/>
        <v>0.28801232218601269</v>
      </c>
      <c r="N61" s="1107">
        <f t="shared" si="118"/>
        <v>0.29670560750133851</v>
      </c>
      <c r="O61" s="1107">
        <f t="shared" si="118"/>
        <v>0.30577686174341767</v>
      </c>
      <c r="P61" s="1107">
        <f t="shared" si="118"/>
        <v>0.31447014705874349</v>
      </c>
      <c r="Q61" s="1107">
        <f t="shared" si="118"/>
        <v>0.3235414013008226</v>
      </c>
      <c r="R61" s="1107">
        <f t="shared" si="118"/>
        <v>0.33677031373718802</v>
      </c>
      <c r="S61" s="1107">
        <f t="shared" si="118"/>
        <v>0.33677031373718802</v>
      </c>
      <c r="T61" s="1107">
        <f t="shared" si="118"/>
        <v>0.34999922617355345</v>
      </c>
      <c r="U61" s="1107">
        <f t="shared" si="118"/>
        <v>0.36360610753667216</v>
      </c>
      <c r="V61" s="1107">
        <f t="shared" si="118"/>
        <v>0.37683501997303759</v>
      </c>
      <c r="W61" s="1107">
        <f t="shared" si="118"/>
        <v>0.37683501997303759</v>
      </c>
      <c r="X61" s="1107">
        <f t="shared" si="118"/>
        <v>0.39006393240940301</v>
      </c>
      <c r="Y61" s="1064"/>
      <c r="Z61" s="1064"/>
      <c r="AA61" s="1064"/>
      <c r="AB61" s="1064"/>
      <c r="AC61" s="1064"/>
      <c r="AD61" s="1064"/>
      <c r="AE61" s="1064"/>
      <c r="AF61" s="1064"/>
      <c r="AG61" s="1064"/>
      <c r="AH61" s="1064"/>
      <c r="AI61" s="1064"/>
      <c r="AJ61" s="1064"/>
    </row>
    <row r="62" spans="1:36" s="1066" customFormat="1" ht="20.100000000000001" customHeight="1" x14ac:dyDescent="0.2">
      <c r="A62" s="1064"/>
      <c r="B62" s="1109"/>
      <c r="C62" s="1095"/>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064"/>
      <c r="Z62" s="1064"/>
      <c r="AA62" s="1064"/>
      <c r="AB62" s="1064"/>
      <c r="AC62" s="1064"/>
      <c r="AD62" s="1064"/>
      <c r="AE62" s="1064"/>
      <c r="AF62" s="1064"/>
      <c r="AG62" s="1064"/>
      <c r="AH62" s="1064"/>
      <c r="AI62" s="1064"/>
      <c r="AJ62" s="1064"/>
    </row>
    <row r="63" spans="1:36" s="1064" customFormat="1" ht="20.100000000000001" customHeight="1" x14ac:dyDescent="0.25">
      <c r="B63" s="1110"/>
    </row>
    <row r="64" spans="1:36" s="1066" customFormat="1" ht="27" thickBot="1" x14ac:dyDescent="0.45">
      <c r="A64" s="1064"/>
      <c r="B64" s="1065"/>
      <c r="C64" s="1098"/>
      <c r="D64" s="1841" t="s">
        <v>614</v>
      </c>
      <c r="E64" s="1841"/>
      <c r="F64" s="1841"/>
      <c r="G64" s="1841"/>
      <c r="H64" s="1841"/>
      <c r="I64" s="1841"/>
      <c r="J64" s="1841"/>
      <c r="K64" s="1841"/>
      <c r="L64" s="1841"/>
      <c r="M64" s="1841"/>
      <c r="N64" s="1841"/>
      <c r="O64" s="1841"/>
      <c r="P64" s="1841"/>
      <c r="Q64" s="1841"/>
      <c r="R64" s="1841"/>
      <c r="S64" s="1841"/>
      <c r="T64" s="1841"/>
      <c r="U64" s="1841"/>
      <c r="V64" s="1841"/>
      <c r="W64" s="1841"/>
      <c r="X64" s="1841"/>
      <c r="Y64" s="1111"/>
      <c r="Z64" s="1111"/>
      <c r="AA64" s="1111"/>
      <c r="AB64" s="1111"/>
      <c r="AC64" s="1111"/>
      <c r="AD64" s="1111"/>
      <c r="AE64" s="1111"/>
      <c r="AF64" s="1111"/>
      <c r="AG64" s="1064"/>
      <c r="AH64" s="1064"/>
      <c r="AI64" s="1064"/>
      <c r="AJ64" s="1064"/>
    </row>
    <row r="65" spans="1:36" s="1066" customFormat="1" ht="20.100000000000001" customHeight="1" x14ac:dyDescent="0.25">
      <c r="A65" s="1064"/>
      <c r="B65" s="1106"/>
      <c r="C65" s="1094"/>
      <c r="D65" s="719">
        <v>2023</v>
      </c>
      <c r="E65" s="717">
        <f>D65+1</f>
        <v>2024</v>
      </c>
      <c r="F65" s="717">
        <f t="shared" ref="F65" si="119">E65+1</f>
        <v>2025</v>
      </c>
      <c r="G65" s="717">
        <f t="shared" ref="G65" si="120">F65+1</f>
        <v>2026</v>
      </c>
      <c r="H65" s="717">
        <f t="shared" ref="H65" si="121">G65+1</f>
        <v>2027</v>
      </c>
      <c r="I65" s="717">
        <f t="shared" ref="I65" si="122">H65+1</f>
        <v>2028</v>
      </c>
      <c r="J65" s="717">
        <f t="shared" ref="J65" si="123">I65+1</f>
        <v>2029</v>
      </c>
      <c r="K65" s="717">
        <f t="shared" ref="K65" si="124">J65+1</f>
        <v>2030</v>
      </c>
      <c r="L65" s="717">
        <f t="shared" ref="L65" si="125">K65+1</f>
        <v>2031</v>
      </c>
      <c r="M65" s="717">
        <f t="shared" ref="M65" si="126">L65+1</f>
        <v>2032</v>
      </c>
      <c r="N65" s="717">
        <f t="shared" ref="N65" si="127">M65+1</f>
        <v>2033</v>
      </c>
      <c r="O65" s="717">
        <f t="shared" ref="O65" si="128">N65+1</f>
        <v>2034</v>
      </c>
      <c r="P65" s="717">
        <f t="shared" ref="P65" si="129">O65+1</f>
        <v>2035</v>
      </c>
      <c r="Q65" s="717">
        <f t="shared" ref="Q65" si="130">P65+1</f>
        <v>2036</v>
      </c>
      <c r="R65" s="717">
        <f t="shared" ref="R65" si="131">Q65+1</f>
        <v>2037</v>
      </c>
      <c r="S65" s="717">
        <f t="shared" ref="S65" si="132">R65+1</f>
        <v>2038</v>
      </c>
      <c r="T65" s="717">
        <f t="shared" ref="T65" si="133">S65+1</f>
        <v>2039</v>
      </c>
      <c r="U65" s="717">
        <f t="shared" ref="U65" si="134">T65+1</f>
        <v>2040</v>
      </c>
      <c r="V65" s="717">
        <f t="shared" ref="V65" si="135">U65+1</f>
        <v>2041</v>
      </c>
      <c r="W65" s="717">
        <f t="shared" ref="W65" si="136">V65+1</f>
        <v>2042</v>
      </c>
      <c r="X65" s="718">
        <f t="shared" ref="X65" si="137">W65+1</f>
        <v>2043</v>
      </c>
      <c r="Y65" s="1064"/>
      <c r="Z65" s="1064"/>
      <c r="AA65" s="1064"/>
      <c r="AB65" s="1064"/>
      <c r="AC65" s="1064"/>
      <c r="AD65" s="1064"/>
      <c r="AE65" s="1064"/>
      <c r="AF65" s="1064"/>
      <c r="AG65" s="1064"/>
      <c r="AH65" s="1064"/>
      <c r="AI65" s="1064"/>
      <c r="AJ65" s="1064"/>
    </row>
    <row r="66" spans="1:36" s="1066" customFormat="1" ht="20.100000000000001" customHeight="1" x14ac:dyDescent="0.2">
      <c r="A66" s="1064"/>
      <c r="B66" s="1070" t="s">
        <v>394</v>
      </c>
      <c r="C66" s="1095"/>
      <c r="D66" s="1107">
        <f>D47*$D$54</f>
        <v>0.15457320577171316</v>
      </c>
      <c r="E66" s="1107">
        <f t="shared" ref="E66:X66" si="138">E47*$D$54</f>
        <v>0.15575918944771094</v>
      </c>
      <c r="F66" s="1107">
        <f t="shared" si="138"/>
        <v>0.15575918944771094</v>
      </c>
      <c r="G66" s="1107">
        <f t="shared" si="138"/>
        <v>0.15694517312370876</v>
      </c>
      <c r="H66" s="1107">
        <f t="shared" si="138"/>
        <v>0.15694517312370876</v>
      </c>
      <c r="I66" s="1107">
        <f t="shared" si="138"/>
        <v>0.15813115679970655</v>
      </c>
      <c r="J66" s="1107">
        <f t="shared" si="138"/>
        <v>0.15892181258370508</v>
      </c>
      <c r="K66" s="1107">
        <f t="shared" si="138"/>
        <v>0.15892181258370508</v>
      </c>
      <c r="L66" s="1107">
        <f t="shared" si="138"/>
        <v>0.16010779625970289</v>
      </c>
      <c r="M66" s="1107">
        <f t="shared" si="138"/>
        <v>0.16010779625970289</v>
      </c>
      <c r="N66" s="1107">
        <f t="shared" si="138"/>
        <v>0.16247976361169847</v>
      </c>
      <c r="O66" s="1107">
        <f t="shared" si="138"/>
        <v>0.16247976361169847</v>
      </c>
      <c r="P66" s="1107">
        <f t="shared" si="138"/>
        <v>0.1648517309636941</v>
      </c>
      <c r="Q66" s="1107">
        <f t="shared" si="138"/>
        <v>0.1648517309636941</v>
      </c>
      <c r="R66" s="1107">
        <f t="shared" si="138"/>
        <v>0.16722369831568967</v>
      </c>
      <c r="S66" s="1107">
        <f t="shared" si="138"/>
        <v>0.16722369831568967</v>
      </c>
      <c r="T66" s="1107">
        <f t="shared" si="138"/>
        <v>0.16959566566768527</v>
      </c>
      <c r="U66" s="1107">
        <f t="shared" si="138"/>
        <v>0.16959566566768527</v>
      </c>
      <c r="V66" s="1107">
        <f t="shared" si="138"/>
        <v>0.17196763301968088</v>
      </c>
      <c r="W66" s="1107">
        <f t="shared" si="138"/>
        <v>0.17196763301968088</v>
      </c>
      <c r="X66" s="1107">
        <f t="shared" si="138"/>
        <v>0.17196763301968088</v>
      </c>
      <c r="Y66" s="1064"/>
      <c r="Z66" s="1064"/>
      <c r="AA66" s="1064"/>
      <c r="AB66" s="1064"/>
      <c r="AC66" s="1064"/>
      <c r="AD66" s="1064"/>
      <c r="AE66" s="1064"/>
      <c r="AF66" s="1064"/>
      <c r="AG66" s="1064"/>
      <c r="AH66" s="1064"/>
      <c r="AI66" s="1064"/>
      <c r="AJ66" s="1064"/>
    </row>
    <row r="67" spans="1:36" s="1066" customFormat="1" ht="20.100000000000001" customHeight="1" x14ac:dyDescent="0.2">
      <c r="A67" s="1064"/>
      <c r="B67" s="1076" t="s">
        <v>395</v>
      </c>
      <c r="C67" s="1095"/>
      <c r="D67" s="1107">
        <f>D48*$D$54</f>
        <v>0.15457320577171316</v>
      </c>
      <c r="E67" s="1107">
        <f t="shared" ref="E67:X67" si="139">E48*$D$54</f>
        <v>0.15575918944771094</v>
      </c>
      <c r="F67" s="1107">
        <f t="shared" si="139"/>
        <v>0.15575918944771094</v>
      </c>
      <c r="G67" s="1107">
        <f t="shared" si="139"/>
        <v>0.15694517312370876</v>
      </c>
      <c r="H67" s="1107">
        <f t="shared" si="139"/>
        <v>0.15694517312370876</v>
      </c>
      <c r="I67" s="1107">
        <f t="shared" si="139"/>
        <v>0.15813115679970655</v>
      </c>
      <c r="J67" s="1107">
        <f t="shared" si="139"/>
        <v>0.15892181258370508</v>
      </c>
      <c r="K67" s="1107">
        <f t="shared" si="139"/>
        <v>0.15892181258370508</v>
      </c>
      <c r="L67" s="1107">
        <f t="shared" si="139"/>
        <v>0.16010779625970289</v>
      </c>
      <c r="M67" s="1107">
        <f t="shared" si="139"/>
        <v>0.16010779625970289</v>
      </c>
      <c r="N67" s="1107">
        <f t="shared" si="139"/>
        <v>0.16247976361169847</v>
      </c>
      <c r="O67" s="1107">
        <f t="shared" si="139"/>
        <v>0.16247976361169847</v>
      </c>
      <c r="P67" s="1107">
        <f t="shared" si="139"/>
        <v>0.1648517309636941</v>
      </c>
      <c r="Q67" s="1107">
        <f t="shared" si="139"/>
        <v>0.1648517309636941</v>
      </c>
      <c r="R67" s="1107">
        <f t="shared" si="139"/>
        <v>0.16722369831568967</v>
      </c>
      <c r="S67" s="1107">
        <f t="shared" si="139"/>
        <v>0.16722369831568967</v>
      </c>
      <c r="T67" s="1107">
        <f t="shared" si="139"/>
        <v>0.16959566566768527</v>
      </c>
      <c r="U67" s="1107">
        <f t="shared" si="139"/>
        <v>0.16959566566768527</v>
      </c>
      <c r="V67" s="1107">
        <f t="shared" si="139"/>
        <v>0.17196763301968088</v>
      </c>
      <c r="W67" s="1107">
        <f t="shared" si="139"/>
        <v>0.17196763301968088</v>
      </c>
      <c r="X67" s="1107">
        <f t="shared" si="139"/>
        <v>0.17196763301968088</v>
      </c>
      <c r="Y67" s="1064"/>
      <c r="Z67" s="1064"/>
      <c r="AA67" s="1064"/>
      <c r="AB67" s="1064"/>
      <c r="AC67" s="1064"/>
      <c r="AD67" s="1064"/>
      <c r="AE67" s="1064"/>
      <c r="AF67" s="1064"/>
      <c r="AG67" s="1064"/>
      <c r="AH67" s="1064"/>
      <c r="AI67" s="1064"/>
      <c r="AJ67" s="1064"/>
    </row>
    <row r="68" spans="1:36" s="1066" customFormat="1" ht="20.100000000000001" customHeight="1" x14ac:dyDescent="0.2">
      <c r="A68" s="1064"/>
      <c r="B68" s="1076" t="s">
        <v>396</v>
      </c>
      <c r="C68" s="1095"/>
      <c r="D68" s="1107">
        <f>D49*$D$54</f>
        <v>0.15457320577171316</v>
      </c>
      <c r="E68" s="1107">
        <f t="shared" ref="E68:X68" si="140">E49*$D$54</f>
        <v>0.15575918944771094</v>
      </c>
      <c r="F68" s="1107">
        <f t="shared" si="140"/>
        <v>0.15575918944771094</v>
      </c>
      <c r="G68" s="1107">
        <f t="shared" si="140"/>
        <v>0.15694517312370876</v>
      </c>
      <c r="H68" s="1107">
        <f t="shared" si="140"/>
        <v>0.15694517312370876</v>
      </c>
      <c r="I68" s="1107">
        <f t="shared" si="140"/>
        <v>0.15813115679970655</v>
      </c>
      <c r="J68" s="1107">
        <f t="shared" si="140"/>
        <v>0.15892181258370508</v>
      </c>
      <c r="K68" s="1107">
        <f t="shared" si="140"/>
        <v>0.15892181258370508</v>
      </c>
      <c r="L68" s="1107">
        <f t="shared" si="140"/>
        <v>0.16010779625970289</v>
      </c>
      <c r="M68" s="1107">
        <f t="shared" si="140"/>
        <v>0.16010779625970289</v>
      </c>
      <c r="N68" s="1107">
        <f t="shared" si="140"/>
        <v>0.16247976361169847</v>
      </c>
      <c r="O68" s="1107">
        <f t="shared" si="140"/>
        <v>0.16247976361169847</v>
      </c>
      <c r="P68" s="1107">
        <f t="shared" si="140"/>
        <v>0.1648517309636941</v>
      </c>
      <c r="Q68" s="1107">
        <f t="shared" si="140"/>
        <v>0.1648517309636941</v>
      </c>
      <c r="R68" s="1107">
        <f t="shared" si="140"/>
        <v>0.16722369831568967</v>
      </c>
      <c r="S68" s="1107">
        <f t="shared" si="140"/>
        <v>0.16722369831568967</v>
      </c>
      <c r="T68" s="1107">
        <f t="shared" si="140"/>
        <v>0.16959566566768527</v>
      </c>
      <c r="U68" s="1107">
        <f t="shared" si="140"/>
        <v>0.16959566566768527</v>
      </c>
      <c r="V68" s="1107">
        <f t="shared" si="140"/>
        <v>0.17196763301968088</v>
      </c>
      <c r="W68" s="1107">
        <f t="shared" si="140"/>
        <v>0.17196763301968088</v>
      </c>
      <c r="X68" s="1107">
        <f t="shared" si="140"/>
        <v>0.17196763301968088</v>
      </c>
      <c r="Y68" s="1064"/>
      <c r="Z68" s="1064"/>
      <c r="AA68" s="1064"/>
      <c r="AB68" s="1064"/>
      <c r="AC68" s="1064"/>
      <c r="AD68" s="1064"/>
      <c r="AE68" s="1064"/>
      <c r="AF68" s="1064"/>
      <c r="AG68" s="1064"/>
      <c r="AH68" s="1064"/>
      <c r="AI68" s="1064"/>
      <c r="AJ68" s="1064"/>
    </row>
    <row r="69" spans="1:36" s="1066" customFormat="1" ht="20.100000000000001" customHeight="1" thickBot="1" x14ac:dyDescent="0.25">
      <c r="A69" s="1064"/>
      <c r="B69" s="1108" t="s">
        <v>140</v>
      </c>
      <c r="C69" s="1095"/>
      <c r="D69" s="1107">
        <f>D50*$D$54</f>
        <v>0.23561542363156276</v>
      </c>
      <c r="E69" s="1107">
        <f t="shared" ref="E69:X69" si="141">E50*$D$54</f>
        <v>0.23719673519955983</v>
      </c>
      <c r="F69" s="1107">
        <f t="shared" si="141"/>
        <v>0.23719673519955983</v>
      </c>
      <c r="G69" s="1107">
        <f t="shared" si="141"/>
        <v>0.23719673519955983</v>
      </c>
      <c r="H69" s="1107">
        <f t="shared" si="141"/>
        <v>0.2387780467675569</v>
      </c>
      <c r="I69" s="1107">
        <f t="shared" si="141"/>
        <v>0.2387780467675569</v>
      </c>
      <c r="J69" s="1107">
        <f t="shared" si="141"/>
        <v>0.24075468622755325</v>
      </c>
      <c r="K69" s="1107">
        <f t="shared" si="141"/>
        <v>0.24075468622755325</v>
      </c>
      <c r="L69" s="1107">
        <f t="shared" si="141"/>
        <v>0.24233599779555029</v>
      </c>
      <c r="M69" s="1107">
        <f t="shared" si="141"/>
        <v>0.24233599779555029</v>
      </c>
      <c r="N69" s="1107">
        <f t="shared" si="141"/>
        <v>0.24233599779555029</v>
      </c>
      <c r="O69" s="1107">
        <f t="shared" si="141"/>
        <v>0.24391730936354736</v>
      </c>
      <c r="P69" s="1107">
        <f t="shared" si="141"/>
        <v>0.24391730936354736</v>
      </c>
      <c r="Q69" s="1107">
        <f t="shared" si="141"/>
        <v>0.24747526039154077</v>
      </c>
      <c r="R69" s="1107">
        <f t="shared" si="141"/>
        <v>0.24747526039154077</v>
      </c>
      <c r="S69" s="1107">
        <f t="shared" si="141"/>
        <v>0.25103321141953416</v>
      </c>
      <c r="T69" s="1107">
        <f t="shared" si="141"/>
        <v>0.25103321141953416</v>
      </c>
      <c r="U69" s="1107">
        <f t="shared" si="141"/>
        <v>0.25103321141953416</v>
      </c>
      <c r="V69" s="1107">
        <f t="shared" si="141"/>
        <v>0.25498649033952681</v>
      </c>
      <c r="W69" s="1107">
        <f t="shared" si="141"/>
        <v>0.25498649033952681</v>
      </c>
      <c r="X69" s="1107">
        <f t="shared" si="141"/>
        <v>0.25498649033952681</v>
      </c>
      <c r="Y69" s="1064"/>
      <c r="Z69" s="1064"/>
      <c r="AA69" s="1064"/>
      <c r="AB69" s="1064"/>
      <c r="AC69" s="1064"/>
      <c r="AD69" s="1064"/>
      <c r="AE69" s="1064"/>
      <c r="AF69" s="1064"/>
      <c r="AG69" s="1064"/>
      <c r="AH69" s="1064"/>
      <c r="AI69" s="1064"/>
      <c r="AJ69" s="1064"/>
    </row>
    <row r="70" spans="1:36" s="1066" customFormat="1" ht="20.100000000000001" customHeight="1" thickBot="1" x14ac:dyDescent="0.25">
      <c r="A70" s="1064"/>
      <c r="B70" s="1109"/>
      <c r="C70" s="1095"/>
      <c r="D70" s="1112"/>
      <c r="E70" s="1112"/>
      <c r="F70" s="1112"/>
      <c r="G70" s="1112"/>
      <c r="H70" s="1112"/>
      <c r="I70" s="1112"/>
      <c r="J70" s="1112"/>
      <c r="K70" s="1112"/>
      <c r="L70" s="1112"/>
      <c r="M70" s="1112"/>
      <c r="N70" s="1112"/>
      <c r="O70" s="1112"/>
      <c r="P70" s="1112"/>
      <c r="Q70" s="1112"/>
      <c r="R70" s="1112"/>
      <c r="S70" s="1112"/>
      <c r="T70" s="1112"/>
      <c r="U70" s="1112"/>
      <c r="V70" s="1112"/>
      <c r="W70" s="1112"/>
      <c r="X70" s="1113"/>
      <c r="Y70" s="1064"/>
      <c r="Z70" s="1064"/>
      <c r="AA70" s="1064"/>
      <c r="AB70" s="1064"/>
      <c r="AC70" s="1064"/>
      <c r="AD70" s="1064"/>
      <c r="AE70" s="1064"/>
      <c r="AF70" s="1064"/>
      <c r="AG70" s="1064"/>
      <c r="AH70" s="1064"/>
      <c r="AI70" s="1064"/>
      <c r="AJ70" s="1064"/>
    </row>
    <row r="71" spans="1:36" s="1066" customFormat="1" ht="15" customHeight="1" x14ac:dyDescent="0.25">
      <c r="A71" s="1064"/>
      <c r="B71" s="1065"/>
      <c r="C71" s="1064"/>
      <c r="Y71" s="1064"/>
      <c r="Z71" s="1064"/>
      <c r="AA71" s="1064"/>
      <c r="AB71" s="1064"/>
      <c r="AC71" s="1064"/>
      <c r="AD71" s="1064"/>
      <c r="AE71" s="1064"/>
      <c r="AF71" s="1064"/>
      <c r="AG71" s="1064"/>
      <c r="AH71" s="1064"/>
      <c r="AI71" s="1064"/>
      <c r="AJ71" s="1064"/>
    </row>
    <row r="72" spans="1:36" s="1066" customFormat="1" ht="15" customHeight="1" x14ac:dyDescent="0.25">
      <c r="A72" s="1064"/>
      <c r="B72" s="1065"/>
      <c r="C72" s="1064"/>
      <c r="Y72" s="1064"/>
      <c r="Z72" s="1064"/>
      <c r="AA72" s="1064"/>
      <c r="AB72" s="1064"/>
      <c r="AC72" s="1064"/>
      <c r="AD72" s="1064"/>
      <c r="AE72" s="1064"/>
      <c r="AF72" s="1064"/>
      <c r="AG72" s="1064"/>
      <c r="AH72" s="1064"/>
      <c r="AI72" s="1064"/>
      <c r="AJ72" s="1064"/>
    </row>
    <row r="73" spans="1:36" s="1066" customFormat="1" ht="15" customHeight="1" x14ac:dyDescent="0.25">
      <c r="A73" s="1064"/>
      <c r="B73" s="1065"/>
      <c r="C73" s="1064"/>
      <c r="Y73" s="1064"/>
      <c r="Z73" s="1064"/>
      <c r="AA73" s="1064"/>
      <c r="AB73" s="1064"/>
      <c r="AC73" s="1064"/>
      <c r="AD73" s="1064"/>
      <c r="AE73" s="1064"/>
      <c r="AF73" s="1064"/>
      <c r="AG73" s="1064"/>
      <c r="AH73" s="1064"/>
      <c r="AI73" s="1064"/>
      <c r="AJ73" s="1064"/>
    </row>
    <row r="74" spans="1:36" s="1117" customFormat="1" ht="26.25" x14ac:dyDescent="0.25">
      <c r="A74" s="1114"/>
      <c r="B74" s="1115" t="s">
        <v>517</v>
      </c>
      <c r="C74" s="1116"/>
      <c r="D74" s="1116"/>
      <c r="E74" s="1116"/>
      <c r="F74" s="1116"/>
      <c r="G74" s="1116"/>
      <c r="H74" s="1116"/>
      <c r="I74" s="1116"/>
      <c r="J74" s="1116"/>
      <c r="K74" s="1116"/>
      <c r="L74" s="1116"/>
      <c r="M74" s="1116"/>
      <c r="N74" s="1116"/>
      <c r="O74" s="1116"/>
      <c r="P74" s="1116"/>
      <c r="Q74" s="1116"/>
      <c r="R74" s="1116"/>
      <c r="S74" s="1116"/>
      <c r="T74" s="1116"/>
      <c r="U74" s="1116"/>
      <c r="V74" s="1116"/>
      <c r="W74" s="1116"/>
      <c r="X74" s="1116"/>
    </row>
    <row r="75" spans="1:36" s="1117" customFormat="1" ht="21.75" customHeight="1" x14ac:dyDescent="0.25">
      <c r="A75" s="1114"/>
      <c r="B75" s="1118"/>
      <c r="C75" s="1119"/>
      <c r="D75" s="1119"/>
      <c r="E75" s="1119"/>
      <c r="F75" s="1119"/>
      <c r="G75" s="1119"/>
      <c r="H75" s="1119"/>
      <c r="I75" s="1119"/>
      <c r="J75" s="1119"/>
      <c r="K75" s="1120"/>
      <c r="L75" s="1121"/>
    </row>
    <row r="76" spans="1:36" s="1117" customFormat="1" ht="27" customHeight="1" thickBot="1" x14ac:dyDescent="0.3">
      <c r="A76" s="1114"/>
      <c r="B76" s="1118"/>
      <c r="C76" s="1122"/>
      <c r="D76" s="1842" t="s">
        <v>545</v>
      </c>
      <c r="E76" s="1842"/>
      <c r="F76" s="1842"/>
      <c r="G76" s="1842"/>
      <c r="H76" s="1842"/>
      <c r="I76" s="1842"/>
      <c r="J76" s="1842"/>
      <c r="K76" s="1842"/>
      <c r="L76" s="1842"/>
      <c r="M76" s="1842"/>
      <c r="N76" s="1842"/>
      <c r="O76" s="1842"/>
      <c r="P76" s="1842"/>
      <c r="Q76" s="1842"/>
      <c r="R76" s="1842"/>
      <c r="S76" s="1842"/>
      <c r="T76" s="1842"/>
      <c r="U76" s="1842"/>
      <c r="V76" s="1842"/>
      <c r="W76" s="1842"/>
      <c r="X76" s="1842"/>
      <c r="Y76" s="1123"/>
      <c r="Z76" s="1123"/>
      <c r="AA76" s="1123"/>
      <c r="AB76" s="1123"/>
      <c r="AC76" s="1123"/>
      <c r="AD76" s="1123"/>
      <c r="AE76" s="1123"/>
      <c r="AF76" s="1123"/>
      <c r="AG76" s="1114"/>
      <c r="AH76" s="1114"/>
      <c r="AI76" s="1114"/>
      <c r="AJ76" s="1114"/>
    </row>
    <row r="77" spans="1:36" s="1117" customFormat="1" ht="20.100000000000001" customHeight="1" x14ac:dyDescent="0.25">
      <c r="A77" s="1114"/>
      <c r="B77" s="1118" t="s">
        <v>309</v>
      </c>
      <c r="C77" s="1124"/>
      <c r="D77" s="719">
        <v>2023</v>
      </c>
      <c r="E77" s="717">
        <f>D77+1</f>
        <v>2024</v>
      </c>
      <c r="F77" s="717">
        <f t="shared" ref="F77" si="142">E77+1</f>
        <v>2025</v>
      </c>
      <c r="G77" s="717">
        <f t="shared" ref="G77" si="143">F77+1</f>
        <v>2026</v>
      </c>
      <c r="H77" s="717">
        <f t="shared" ref="H77" si="144">G77+1</f>
        <v>2027</v>
      </c>
      <c r="I77" s="717">
        <f t="shared" ref="I77" si="145">H77+1</f>
        <v>2028</v>
      </c>
      <c r="J77" s="717">
        <f t="shared" ref="J77" si="146">I77+1</f>
        <v>2029</v>
      </c>
      <c r="K77" s="717">
        <f t="shared" ref="K77" si="147">J77+1</f>
        <v>2030</v>
      </c>
      <c r="L77" s="717">
        <f t="shared" ref="L77" si="148">K77+1</f>
        <v>2031</v>
      </c>
      <c r="M77" s="717">
        <f t="shared" ref="M77" si="149">L77+1</f>
        <v>2032</v>
      </c>
      <c r="N77" s="717">
        <f t="shared" ref="N77" si="150">M77+1</f>
        <v>2033</v>
      </c>
      <c r="O77" s="717">
        <f t="shared" ref="O77" si="151">N77+1</f>
        <v>2034</v>
      </c>
      <c r="P77" s="717">
        <f t="shared" ref="P77" si="152">O77+1</f>
        <v>2035</v>
      </c>
      <c r="Q77" s="717">
        <f t="shared" ref="Q77" si="153">P77+1</f>
        <v>2036</v>
      </c>
      <c r="R77" s="717">
        <f t="shared" ref="R77" si="154">Q77+1</f>
        <v>2037</v>
      </c>
      <c r="S77" s="717">
        <f t="shared" ref="S77" si="155">R77+1</f>
        <v>2038</v>
      </c>
      <c r="T77" s="717">
        <f t="shared" ref="T77" si="156">S77+1</f>
        <v>2039</v>
      </c>
      <c r="U77" s="717">
        <f t="shared" ref="U77" si="157">T77+1</f>
        <v>2040</v>
      </c>
      <c r="V77" s="717">
        <f t="shared" ref="V77" si="158">U77+1</f>
        <v>2041</v>
      </c>
      <c r="W77" s="717">
        <f t="shared" ref="W77" si="159">V77+1</f>
        <v>2042</v>
      </c>
      <c r="X77" s="718">
        <f t="shared" ref="X77" si="160">W77+1</f>
        <v>2043</v>
      </c>
    </row>
    <row r="78" spans="1:36" s="1117" customFormat="1" ht="20.100000000000001" customHeight="1" x14ac:dyDescent="0.25">
      <c r="A78" s="1114"/>
      <c r="B78" s="1070" t="s">
        <v>394</v>
      </c>
      <c r="C78" s="1125"/>
      <c r="D78" s="1126">
        <f>'Build.vs.No-Build'!F20</f>
        <v>87468717.469048768</v>
      </c>
      <c r="E78" s="1126">
        <f>'Build.vs.No-Build'!G20</f>
        <v>88235600.603181824</v>
      </c>
      <c r="F78" s="1126">
        <f>'Build.vs.No-Build'!H20</f>
        <v>89009207.395308673</v>
      </c>
      <c r="G78" s="1126">
        <f>'Build.vs.No-Build'!I20</f>
        <v>89789596.79518944</v>
      </c>
      <c r="H78" s="1126">
        <f>'Build.vs.No-Build'!J20</f>
        <v>90576828.269427121</v>
      </c>
      <c r="I78" s="1126">
        <f>'Build.vs.No-Build'!K20</f>
        <v>91370961.805998862</v>
      </c>
      <c r="J78" s="1126">
        <f>'Build.vs.No-Build'!L20</f>
        <v>92172057.918827206</v>
      </c>
      <c r="K78" s="1126">
        <f>'Build.vs.No-Build'!M20</f>
        <v>92980177.652391315</v>
      </c>
      <c r="L78" s="1126">
        <f>'Build.vs.No-Build'!N20</f>
        <v>93795382.586378664</v>
      </c>
      <c r="M78" s="1126">
        <f>'Build.vs.No-Build'!O20</f>
        <v>94617734.84037739</v>
      </c>
      <c r="N78" s="1126">
        <f>'Build.vs.No-Build'!P20</f>
        <v>95447297.078610003</v>
      </c>
      <c r="O78" s="1126">
        <f>'Build.vs.No-Build'!Q20</f>
        <v>96284132.514708325</v>
      </c>
      <c r="P78" s="1126">
        <f>'Build.vs.No-Build'!R20</f>
        <v>97128304.916530609</v>
      </c>
      <c r="Q78" s="1126">
        <f>'Build.vs.No-Build'!S20</f>
        <v>97979878.61102061</v>
      </c>
      <c r="R78" s="1126">
        <f>'Build.vs.No-Build'!T20</f>
        <v>98838918.489109412</v>
      </c>
      <c r="S78" s="1126">
        <f>'Build.vs.No-Build'!U20</f>
        <v>99705490.010660172</v>
      </c>
      <c r="T78" s="1126">
        <f>'Build.vs.No-Build'!V20</f>
        <v>100579659.20945635</v>
      </c>
      <c r="U78" s="1126">
        <f>'Build.vs.No-Build'!W20</f>
        <v>101461492.69823338</v>
      </c>
      <c r="V78" s="1126">
        <f>'Build.vs.No-Build'!X20</f>
        <v>102351057.67375472</v>
      </c>
      <c r="W78" s="1126">
        <f>'Build.vs.No-Build'!Y20</f>
        <v>103248421.92193244</v>
      </c>
      <c r="X78" s="1126">
        <f>'Build.vs.No-Build'!Z20</f>
        <v>104153653.8229924</v>
      </c>
    </row>
    <row r="79" spans="1:36" s="1117" customFormat="1" ht="20.100000000000001" customHeight="1" x14ac:dyDescent="0.25">
      <c r="A79" s="1114"/>
      <c r="B79" s="1076" t="s">
        <v>395</v>
      </c>
      <c r="C79" s="1125"/>
      <c r="D79" s="1126">
        <f>'Build.vs.No-Build'!F21</f>
        <v>47387568.758724816</v>
      </c>
      <c r="E79" s="1126">
        <f>'Build.vs.No-Build'!G21</f>
        <v>47441858.345112845</v>
      </c>
      <c r="F79" s="1126">
        <f>'Build.vs.No-Build'!H21</f>
        <v>47496210.128386408</v>
      </c>
      <c r="G79" s="1126">
        <f>'Build.vs.No-Build'!I21</f>
        <v>47550624.179801412</v>
      </c>
      <c r="H79" s="1126">
        <f>'Build.vs.No-Build'!J21</f>
        <v>47605100.570695348</v>
      </c>
      <c r="I79" s="1126">
        <f>'Build.vs.No-Build'!K21</f>
        <v>47659639.372487485</v>
      </c>
      <c r="J79" s="1126">
        <f>'Build.vs.No-Build'!L21</f>
        <v>47714240.6566789</v>
      </c>
      <c r="K79" s="1126">
        <f>'Build.vs.No-Build'!M21</f>
        <v>47768904.494852565</v>
      </c>
      <c r="L79" s="1126">
        <f>'Build.vs.No-Build'!N21</f>
        <v>47823630.958673455</v>
      </c>
      <c r="M79" s="1126">
        <f>'Build.vs.No-Build'!O21</f>
        <v>47878420.119888686</v>
      </c>
      <c r="N79" s="1126">
        <f>'Build.vs.No-Build'!P21</f>
        <v>47933272.050327569</v>
      </c>
      <c r="O79" s="1126">
        <f>'Build.vs.No-Build'!Q21</f>
        <v>47988186.821901679</v>
      </c>
      <c r="P79" s="1126">
        <f>'Build.vs.No-Build'!R21</f>
        <v>48043164.506604947</v>
      </c>
      <c r="Q79" s="1126">
        <f>'Build.vs.No-Build'!S21</f>
        <v>48098205.17651388</v>
      </c>
      <c r="R79" s="1126">
        <f>'Build.vs.No-Build'!T21</f>
        <v>48153308.903787471</v>
      </c>
      <c r="S79" s="1126">
        <f>'Build.vs.No-Build'!U21</f>
        <v>48208475.760667428</v>
      </c>
      <c r="T79" s="1126">
        <f>'Build.vs.No-Build'!V21</f>
        <v>48263705.819478206</v>
      </c>
      <c r="U79" s="1126">
        <f>'Build.vs.No-Build'!W21</f>
        <v>48318999.15262711</v>
      </c>
      <c r="V79" s="1126">
        <f>'Build.vs.No-Build'!X21</f>
        <v>48374355.832604431</v>
      </c>
      <c r="W79" s="1126">
        <f>'Build.vs.No-Build'!Y21</f>
        <v>48429775.931983471</v>
      </c>
      <c r="X79" s="1126">
        <f>'Build.vs.No-Build'!Z21</f>
        <v>48485259.523420669</v>
      </c>
    </row>
    <row r="80" spans="1:36" s="1117" customFormat="1" ht="20.100000000000001" customHeight="1" x14ac:dyDescent="0.25">
      <c r="A80" s="1114"/>
      <c r="B80" s="1076" t="s">
        <v>396</v>
      </c>
      <c r="C80" s="1125"/>
      <c r="D80" s="1126">
        <f>'Build.vs.No-Build'!F22</f>
        <v>28787735.515373368</v>
      </c>
      <c r="E80" s="1126">
        <f>'Build.vs.No-Build'!G22</f>
        <v>29037244.911846101</v>
      </c>
      <c r="F80" s="1126">
        <f>'Build.vs.No-Build'!H22</f>
        <v>29288916.859065309</v>
      </c>
      <c r="G80" s="1126">
        <f>'Build.vs.No-Build'!I22</f>
        <v>29542770.100316007</v>
      </c>
      <c r="H80" s="1126">
        <f>'Build.vs.No-Build'!J22</f>
        <v>29798823.541335229</v>
      </c>
      <c r="I80" s="1126">
        <f>'Build.vs.No-Build'!K22</f>
        <v>30057096.251720019</v>
      </c>
      <c r="J80" s="1126">
        <f>'Build.vs.No-Build'!L22</f>
        <v>30317607.466347668</v>
      </c>
      <c r="K80" s="1126">
        <f>'Build.vs.No-Build'!M22</f>
        <v>30580376.586808216</v>
      </c>
      <c r="L80" s="1126">
        <f>'Build.vs.No-Build'!N22</f>
        <v>30845423.182849392</v>
      </c>
      <c r="M80" s="1126">
        <f>'Build.vs.No-Build'!O22</f>
        <v>31112766.993834067</v>
      </c>
      <c r="N80" s="1126">
        <f>'Build.vs.No-Build'!P22</f>
        <v>31382427.930210348</v>
      </c>
      <c r="O80" s="1126">
        <f>'Build.vs.No-Build'!Q22</f>
        <v>31654426.074994408</v>
      </c>
      <c r="P80" s="1126">
        <f>'Build.vs.No-Build'!R22</f>
        <v>31928781.685266178</v>
      </c>
      <c r="Q80" s="1126">
        <f>'Build.vs.No-Build'!S22</f>
        <v>32205515.19367798</v>
      </c>
      <c r="R80" s="1126">
        <f>'Build.vs.No-Build'!T22</f>
        <v>32484647.209976271</v>
      </c>
      <c r="S80" s="1126">
        <f>'Build.vs.No-Build'!U22</f>
        <v>32766198.52253652</v>
      </c>
      <c r="T80" s="1126">
        <f>'Build.vs.No-Build'!V22</f>
        <v>33050190.099911474</v>
      </c>
      <c r="U80" s="1126">
        <f>'Build.vs.No-Build'!W22</f>
        <v>33336643.092392743</v>
      </c>
      <c r="V80" s="1126">
        <f>'Build.vs.No-Build'!X22</f>
        <v>33625578.833586</v>
      </c>
      <c r="W80" s="1126">
        <f>'Build.vs.No-Build'!Y22</f>
        <v>33917018.841999784</v>
      </c>
      <c r="X80" s="1126">
        <f>'Build.vs.No-Build'!Z22</f>
        <v>34210984.822648115</v>
      </c>
    </row>
    <row r="81" spans="1:36" s="1117" customFormat="1" ht="20.100000000000001" customHeight="1" x14ac:dyDescent="0.25">
      <c r="A81" s="1114"/>
      <c r="B81" s="1070" t="s">
        <v>140</v>
      </c>
      <c r="C81" s="1125"/>
      <c r="D81" s="1126">
        <f>'Build.vs.No-Build'!F23</f>
        <v>11384420.08687284</v>
      </c>
      <c r="E81" s="1126">
        <f>'Build.vs.No-Build'!G23</f>
        <v>11451092.71405975</v>
      </c>
      <c r="F81" s="1126">
        <f>'Build.vs.No-Build'!H23</f>
        <v>11518155.808146339</v>
      </c>
      <c r="G81" s="1126">
        <f>'Build.vs.No-Build'!I23</f>
        <v>11585611.655894155</v>
      </c>
      <c r="H81" s="1126">
        <f>'Build.vs.No-Build'!J23</f>
        <v>11653462.557457108</v>
      </c>
      <c r="I81" s="1126">
        <f>'Build.vs.No-Build'!K23</f>
        <v>11721710.826459924</v>
      </c>
      <c r="J81" s="1126">
        <f>'Build.vs.No-Build'!L23</f>
        <v>11790358.790077012</v>
      </c>
      <c r="K81" s="1126">
        <f>'Build.vs.No-Build'!M23</f>
        <v>11859408.789111845</v>
      </c>
      <c r="L81" s="1126">
        <f>'Build.vs.No-Build'!N23</f>
        <v>11928863.178076755</v>
      </c>
      <c r="M81" s="1126">
        <f>'Build.vs.No-Build'!O23</f>
        <v>11998724.325273229</v>
      </c>
      <c r="N81" s="1126">
        <f>'Build.vs.No-Build'!P23</f>
        <v>12068994.612872673</v>
      </c>
      <c r="O81" s="1126">
        <f>'Build.vs.No-Build'!Q23</f>
        <v>12139676.43699762</v>
      </c>
      <c r="P81" s="1126">
        <f>'Build.vs.No-Build'!R23</f>
        <v>12210772.207803454</v>
      </c>
      <c r="Q81" s="1126">
        <f>'Build.vs.No-Build'!S23</f>
        <v>12282284.349560583</v>
      </c>
      <c r="R81" s="1126">
        <f>'Build.vs.No-Build'!T23</f>
        <v>12354215.300737102</v>
      </c>
      <c r="S81" s="1126">
        <f>'Build.vs.No-Build'!U23</f>
        <v>12426567.514081953</v>
      </c>
      <c r="T81" s="1126">
        <f>'Build.vs.No-Build'!V23</f>
        <v>12499343.456708552</v>
      </c>
      <c r="U81" s="1126">
        <f>'Build.vs.No-Build'!W23</f>
        <v>12572545.610178908</v>
      </c>
      <c r="V81" s="1126">
        <f>'Build.vs.No-Build'!X23</f>
        <v>12646176.470588248</v>
      </c>
      <c r="W81" s="1126">
        <f>'Build.vs.No-Build'!Y23</f>
        <v>12720238.548650144</v>
      </c>
      <c r="X81" s="1126">
        <f>'Build.vs.No-Build'!Z23</f>
        <v>12794734.369782098</v>
      </c>
    </row>
    <row r="82" spans="1:36" s="1117" customFormat="1" ht="20.100000000000001" customHeight="1" x14ac:dyDescent="0.25">
      <c r="A82" s="1114"/>
      <c r="B82" s="1127"/>
      <c r="C82" s="1114"/>
      <c r="D82" s="1128"/>
      <c r="E82" s="1128"/>
      <c r="F82" s="1128"/>
      <c r="H82" s="1128"/>
      <c r="I82" s="1128"/>
      <c r="J82" s="1128"/>
    </row>
    <row r="83" spans="1:36" s="1117" customFormat="1" ht="27" thickBot="1" x14ac:dyDescent="0.3">
      <c r="A83" s="1114"/>
      <c r="B83" s="1127"/>
      <c r="C83" s="1129"/>
      <c r="D83" s="1842" t="s">
        <v>546</v>
      </c>
      <c r="E83" s="1842"/>
      <c r="F83" s="1842"/>
      <c r="G83" s="1842"/>
      <c r="H83" s="1842"/>
      <c r="I83" s="1842"/>
      <c r="J83" s="1842"/>
      <c r="K83" s="1842"/>
      <c r="L83" s="1842"/>
      <c r="M83" s="1842"/>
      <c r="N83" s="1842"/>
      <c r="O83" s="1842"/>
      <c r="P83" s="1842"/>
      <c r="Q83" s="1842"/>
      <c r="R83" s="1842"/>
      <c r="S83" s="1842"/>
      <c r="T83" s="1842"/>
      <c r="U83" s="1842"/>
      <c r="V83" s="1842"/>
      <c r="W83" s="1842"/>
      <c r="X83" s="1842"/>
      <c r="Y83" s="1130"/>
      <c r="Z83" s="1130"/>
      <c r="AA83" s="1130"/>
      <c r="AB83" s="1130"/>
      <c r="AC83" s="1130"/>
      <c r="AD83" s="1130"/>
      <c r="AE83" s="1130"/>
      <c r="AF83" s="1130"/>
      <c r="AG83" s="1114"/>
      <c r="AH83" s="1114"/>
      <c r="AI83" s="1114"/>
      <c r="AJ83" s="1114"/>
    </row>
    <row r="84" spans="1:36" s="1117" customFormat="1" ht="20.100000000000001" customHeight="1" x14ac:dyDescent="0.25">
      <c r="A84" s="1114"/>
      <c r="B84" s="1118" t="s">
        <v>309</v>
      </c>
      <c r="C84" s="1124"/>
      <c r="D84" s="719">
        <v>2023</v>
      </c>
      <c r="E84" s="717">
        <f>D84+1</f>
        <v>2024</v>
      </c>
      <c r="F84" s="717">
        <f t="shared" ref="F84" si="161">E84+1</f>
        <v>2025</v>
      </c>
      <c r="G84" s="717">
        <f t="shared" ref="G84" si="162">F84+1</f>
        <v>2026</v>
      </c>
      <c r="H84" s="717">
        <f t="shared" ref="H84" si="163">G84+1</f>
        <v>2027</v>
      </c>
      <c r="I84" s="717">
        <f t="shared" ref="I84" si="164">H84+1</f>
        <v>2028</v>
      </c>
      <c r="J84" s="717">
        <f t="shared" ref="J84" si="165">I84+1</f>
        <v>2029</v>
      </c>
      <c r="K84" s="717">
        <f t="shared" ref="K84" si="166">J84+1</f>
        <v>2030</v>
      </c>
      <c r="L84" s="717">
        <f t="shared" ref="L84" si="167">K84+1</f>
        <v>2031</v>
      </c>
      <c r="M84" s="717">
        <f t="shared" ref="M84" si="168">L84+1</f>
        <v>2032</v>
      </c>
      <c r="N84" s="717">
        <f t="shared" ref="N84" si="169">M84+1</f>
        <v>2033</v>
      </c>
      <c r="O84" s="717">
        <f t="shared" ref="O84" si="170">N84+1</f>
        <v>2034</v>
      </c>
      <c r="P84" s="717">
        <f t="shared" ref="P84" si="171">O84+1</f>
        <v>2035</v>
      </c>
      <c r="Q84" s="717">
        <f t="shared" ref="Q84" si="172">P84+1</f>
        <v>2036</v>
      </c>
      <c r="R84" s="717">
        <f t="shared" ref="R84" si="173">Q84+1</f>
        <v>2037</v>
      </c>
      <c r="S84" s="717">
        <f t="shared" ref="S84" si="174">R84+1</f>
        <v>2038</v>
      </c>
      <c r="T84" s="717">
        <f t="shared" ref="T84" si="175">S84+1</f>
        <v>2039</v>
      </c>
      <c r="U84" s="717">
        <f t="shared" ref="U84" si="176">T84+1</f>
        <v>2040</v>
      </c>
      <c r="V84" s="717">
        <f t="shared" ref="V84" si="177">U84+1</f>
        <v>2041</v>
      </c>
      <c r="W84" s="717">
        <f t="shared" ref="W84" si="178">V84+1</f>
        <v>2042</v>
      </c>
      <c r="X84" s="718">
        <f t="shared" ref="X84" si="179">W84+1</f>
        <v>2043</v>
      </c>
    </row>
    <row r="85" spans="1:36" s="1117" customFormat="1" ht="20.100000000000001" customHeight="1" x14ac:dyDescent="0.25">
      <c r="A85" s="1114"/>
      <c r="B85" s="1070" t="s">
        <v>394</v>
      </c>
      <c r="C85" s="1125"/>
      <c r="D85" s="1126">
        <f>'Build.vs.No-Build'!F61</f>
        <v>96446324.580816433</v>
      </c>
      <c r="E85" s="1126">
        <f>'Build.vs.No-Build'!G61</f>
        <v>97413008.271002159</v>
      </c>
      <c r="F85" s="1126">
        <f>'Build.vs.No-Build'!H61</f>
        <v>98389381.053653911</v>
      </c>
      <c r="G85" s="1126">
        <f>'Build.vs.No-Build'!I61</f>
        <v>99375540.042764366</v>
      </c>
      <c r="H85" s="1126">
        <f>'Build.vs.No-Build'!J61</f>
        <v>100371583.32570194</v>
      </c>
      <c r="I85" s="1126">
        <f>'Build.vs.No-Build'!K61</f>
        <v>101377609.97296698</v>
      </c>
      <c r="J85" s="1126">
        <f>'Build.vs.No-Build'!L61</f>
        <v>102393720.04804568</v>
      </c>
      <c r="K85" s="1126">
        <f>'Build.vs.No-Build'!M61</f>
        <v>103420014.61736283</v>
      </c>
      <c r="L85" s="1126">
        <f>'Build.vs.No-Build'!N61</f>
        <v>104456595.76033424</v>
      </c>
      <c r="M85" s="1126">
        <f>'Build.vs.No-Build'!O61</f>
        <v>105503566.57952006</v>
      </c>
      <c r="N85" s="1126">
        <f>'Build.vs.No-Build'!P61</f>
        <v>106561031.21087971</v>
      </c>
      <c r="O85" s="1126">
        <f>'Build.vs.No-Build'!Q61</f>
        <v>107629094.83412971</v>
      </c>
      <c r="P85" s="1126">
        <f>'Build.vs.No-Build'!R61</f>
        <v>108707863.68320517</v>
      </c>
      <c r="Q85" s="1126">
        <f>'Build.vs.No-Build'!S61</f>
        <v>109797445.05682644</v>
      </c>
      <c r="R85" s="1126">
        <f>'Build.vs.No-Build'!T61</f>
        <v>110897947.32917129</v>
      </c>
      <c r="S85" s="1126">
        <f>'Build.vs.No-Build'!U61</f>
        <v>112009479.96065439</v>
      </c>
      <c r="T85" s="1126">
        <f>'Build.vs.No-Build'!V61</f>
        <v>113132153.50881453</v>
      </c>
      <c r="U85" s="1126">
        <f>'Build.vs.No-Build'!W61</f>
        <v>114266079.63931128</v>
      </c>
      <c r="V85" s="1126">
        <f>'Build.vs.No-Build'!X61</f>
        <v>115411371.13703163</v>
      </c>
      <c r="W85" s="1126">
        <f>'Build.vs.No-Build'!Y61</f>
        <v>116568141.91730805</v>
      </c>
      <c r="X85" s="1126">
        <f>'Build.vs.No-Build'!Z61</f>
        <v>117736507.03724885</v>
      </c>
    </row>
    <row r="86" spans="1:36" s="1117" customFormat="1" ht="20.100000000000001" customHeight="1" x14ac:dyDescent="0.25">
      <c r="A86" s="1114"/>
      <c r="B86" s="1076" t="s">
        <v>395</v>
      </c>
      <c r="C86" s="1125"/>
      <c r="D86" s="1126">
        <f>'Build.vs.No-Build'!F62</f>
        <v>52355274.142207876</v>
      </c>
      <c r="E86" s="1126">
        <f>'Build.vs.No-Build'!G62</f>
        <v>52475733.507148951</v>
      </c>
      <c r="F86" s="1126">
        <f>'Build.vs.No-Build'!H62</f>
        <v>52596470.025802612</v>
      </c>
      <c r="G86" s="1126">
        <f>'Build.vs.No-Build'!I62</f>
        <v>52717484.335845985</v>
      </c>
      <c r="H86" s="1126">
        <f>'Build.vs.No-Build'!J62</f>
        <v>52838777.076423332</v>
      </c>
      <c r="I86" s="1126">
        <f>'Build.vs.No-Build'!K62</f>
        <v>52960348.888149522</v>
      </c>
      <c r="J86" s="1126">
        <f>'Build.vs.No-Build'!L62</f>
        <v>53082200.413113296</v>
      </c>
      <c r="K86" s="1126">
        <f>'Build.vs.No-Build'!M62</f>
        <v>53204332.29488074</v>
      </c>
      <c r="L86" s="1126">
        <f>'Build.vs.No-Build'!N62</f>
        <v>53326745.178498678</v>
      </c>
      <c r="M86" s="1126">
        <f>'Build.vs.No-Build'!O62</f>
        <v>53449439.71049805</v>
      </c>
      <c r="N86" s="1126">
        <f>'Build.vs.No-Build'!P62</f>
        <v>53572416.538897313</v>
      </c>
      <c r="O86" s="1126">
        <f>'Build.vs.No-Build'!Q62</f>
        <v>53695676.313205928</v>
      </c>
      <c r="P86" s="1126">
        <f>'Build.vs.No-Build'!R62</f>
        <v>53819219.684427746</v>
      </c>
      <c r="Q86" s="1126">
        <f>'Build.vs.No-Build'!S62</f>
        <v>53943047.305064417</v>
      </c>
      <c r="R86" s="1126">
        <f>'Build.vs.No-Build'!T62</f>
        <v>54067159.829118922</v>
      </c>
      <c r="S86" s="1126">
        <f>'Build.vs.No-Build'!U62</f>
        <v>54191557.912098914</v>
      </c>
      <c r="T86" s="1126">
        <f>'Build.vs.No-Build'!V62</f>
        <v>54316242.211020328</v>
      </c>
      <c r="U86" s="1126">
        <f>'Build.vs.No-Build'!W62</f>
        <v>54441213.384410672</v>
      </c>
      <c r="V86" s="1126">
        <f>'Build.vs.No-Build'!X62</f>
        <v>54566472.092312671</v>
      </c>
      <c r="W86" s="1126">
        <f>'Build.vs.No-Build'!Y62</f>
        <v>54692018.996287644</v>
      </c>
      <c r="X86" s="1126">
        <f>'Build.vs.No-Build'!Z62</f>
        <v>54817854.759419039</v>
      </c>
    </row>
    <row r="87" spans="1:36" s="1117" customFormat="1" ht="20.100000000000001" customHeight="1" x14ac:dyDescent="0.25">
      <c r="A87" s="1114"/>
      <c r="B87" s="1076" t="s">
        <v>396</v>
      </c>
      <c r="C87" s="1125"/>
      <c r="D87" s="1126">
        <f>'Build.vs.No-Build'!F63</f>
        <v>31744986.975308243</v>
      </c>
      <c r="E87" s="1126">
        <f>'Build.vs.No-Build'!G63</f>
        <v>32060051.32207986</v>
      </c>
      <c r="F87" s="1126">
        <f>'Build.vs.No-Build'!H63</f>
        <v>32378242.63635296</v>
      </c>
      <c r="G87" s="1126">
        <f>'Build.vs.No-Build'!I63</f>
        <v>32699591.952822052</v>
      </c>
      <c r="H87" s="1126">
        <f>'Build.vs.No-Build'!J63</f>
        <v>33024130.614196457</v>
      </c>
      <c r="I87" s="1126">
        <f>'Build.vs.No-Build'!K63</f>
        <v>33351890.274257284</v>
      </c>
      <c r="J87" s="1126">
        <f>'Build.vs.No-Build'!L63</f>
        <v>33682902.900944799</v>
      </c>
      <c r="K87" s="1126">
        <f>'Build.vs.No-Build'!M63</f>
        <v>34017200.779476374</v>
      </c>
      <c r="L87" s="1126">
        <f>'Build.vs.No-Build'!N63</f>
        <v>34354816.515495449</v>
      </c>
      <c r="M87" s="1126">
        <f>'Build.vs.No-Build'!O63</f>
        <v>34695783.038251698</v>
      </c>
      <c r="N87" s="1126">
        <f>'Build.vs.No-Build'!P63</f>
        <v>35040133.603812784</v>
      </c>
      <c r="O87" s="1126">
        <f>'Build.vs.No-Build'!Q63</f>
        <v>35387901.798307963</v>
      </c>
      <c r="P87" s="1126">
        <f>'Build.vs.No-Build'!R63</f>
        <v>35739121.541203879</v>
      </c>
      <c r="Q87" s="1126">
        <f>'Build.vs.No-Build'!S63</f>
        <v>36093827.088612966</v>
      </c>
      <c r="R87" s="1126">
        <f>'Build.vs.No-Build'!T63</f>
        <v>36452053.03663452</v>
      </c>
      <c r="S87" s="1126">
        <f>'Build.vs.No-Build'!U63</f>
        <v>36813834.32472907</v>
      </c>
      <c r="T87" s="1126">
        <f>'Build.vs.No-Build'!V63</f>
        <v>37179206.239126168</v>
      </c>
      <c r="U87" s="1126">
        <f>'Build.vs.No-Build'!W63</f>
        <v>37548204.416266032</v>
      </c>
      <c r="V87" s="1126">
        <f>'Build.vs.No-Build'!X63</f>
        <v>37920864.846275337</v>
      </c>
      <c r="W87" s="1126">
        <f>'Build.vs.No-Build'!Y63</f>
        <v>38297223.87647748</v>
      </c>
      <c r="X87" s="1126">
        <f>'Build.vs.No-Build'!Z63</f>
        <v>38677318.214937732</v>
      </c>
    </row>
    <row r="88" spans="1:36" s="1117" customFormat="1" ht="20.100000000000001" customHeight="1" x14ac:dyDescent="0.25">
      <c r="A88" s="1114"/>
      <c r="B88" s="1070" t="s">
        <v>140</v>
      </c>
      <c r="C88" s="1125"/>
      <c r="D88" s="1126">
        <f>'Build.vs.No-Build'!F64</f>
        <v>10090460.784313725</v>
      </c>
      <c r="E88" s="1126">
        <f>'Build.vs.No-Build'!G64</f>
        <v>10295220.350959849</v>
      </c>
      <c r="F88" s="1126">
        <f>'Build.vs.No-Build'!H64</f>
        <v>10504134.978611542</v>
      </c>
      <c r="G88" s="1126">
        <f>'Build.vs.No-Build'!I64</f>
        <v>10717288.983387666</v>
      </c>
      <c r="H88" s="1126">
        <f>'Build.vs.No-Build'!J64</f>
        <v>10934768.392382665</v>
      </c>
      <c r="I88" s="1126">
        <f>'Build.vs.No-Build'!K64</f>
        <v>11156660.978386337</v>
      </c>
      <c r="J88" s="1126">
        <f>'Build.vs.No-Build'!L64</f>
        <v>11383056.295308176</v>
      </c>
      <c r="K88" s="1126">
        <f>'Build.vs.No-Build'!M64</f>
        <v>11614045.71432055</v>
      </c>
      <c r="L88" s="1126">
        <f>'Build.vs.No-Build'!N64</f>
        <v>11849722.460735288</v>
      </c>
      <c r="M88" s="1126">
        <f>'Build.vs.No-Build'!O64</f>
        <v>12090181.651628623</v>
      </c>
      <c r="N88" s="1126">
        <f>'Build.vs.No-Build'!P64</f>
        <v>12335520.334229605</v>
      </c>
      <c r="O88" s="1126">
        <f>'Build.vs.No-Build'!Q64</f>
        <v>12585837.525087515</v>
      </c>
      <c r="P88" s="1126">
        <f>'Build.vs.No-Build'!R64</f>
        <v>12841234.250034079</v>
      </c>
      <c r="Q88" s="1126">
        <f>'Build.vs.No-Build'!S64</f>
        <v>13101813.584956612</v>
      </c>
      <c r="R88" s="1126">
        <f>'Build.vs.No-Build'!T64</f>
        <v>13367680.69739854</v>
      </c>
      <c r="S88" s="1126">
        <f>'Build.vs.No-Build'!U64</f>
        <v>13638942.889004121</v>
      </c>
      <c r="T88" s="1126">
        <f>'Build.vs.No-Build'!V64</f>
        <v>13915709.638824424</v>
      </c>
      <c r="U88" s="1126">
        <f>'Build.vs.No-Build'!W64</f>
        <v>14198092.647502139</v>
      </c>
      <c r="V88" s="1126">
        <f>'Build.vs.No-Build'!X64</f>
        <v>14486205.882352967</v>
      </c>
      <c r="W88" s="1126">
        <f>'Build.vs.No-Build'!Y64</f>
        <v>14780165.623361848</v>
      </c>
      <c r="X88" s="1126">
        <f>'Build.vs.No-Build'!Z64</f>
        <v>15080090.510112535</v>
      </c>
    </row>
    <row r="89" spans="1:36" s="1117" customFormat="1" ht="20.100000000000001" customHeight="1" x14ac:dyDescent="0.25">
      <c r="A89" s="1114"/>
      <c r="B89" s="1131"/>
      <c r="C89" s="1114"/>
    </row>
    <row r="90" spans="1:36" s="1117" customFormat="1" ht="26.25" customHeight="1" x14ac:dyDescent="0.25">
      <c r="A90" s="1114"/>
      <c r="B90" s="1115" t="s">
        <v>550</v>
      </c>
      <c r="C90" s="1116"/>
      <c r="D90" s="1116"/>
      <c r="E90" s="1116"/>
      <c r="F90" s="1116"/>
      <c r="G90" s="1116"/>
      <c r="H90" s="1116"/>
      <c r="I90" s="1116"/>
      <c r="J90" s="1116"/>
      <c r="K90" s="1116"/>
      <c r="L90" s="1116"/>
      <c r="M90" s="1116"/>
      <c r="N90" s="1116"/>
      <c r="O90" s="1116"/>
      <c r="P90" s="1116"/>
      <c r="Q90" s="1116"/>
      <c r="R90" s="1116"/>
      <c r="S90" s="1116"/>
      <c r="T90" s="1116"/>
      <c r="U90" s="1116"/>
      <c r="V90" s="1116"/>
      <c r="W90" s="1116"/>
      <c r="X90" s="1116"/>
    </row>
    <row r="91" spans="1:36" s="1117" customFormat="1" ht="20.100000000000001" customHeight="1" x14ac:dyDescent="0.25">
      <c r="A91" s="1114"/>
      <c r="B91" s="1127"/>
      <c r="D91" s="1128"/>
      <c r="E91" s="1128"/>
      <c r="F91" s="1128"/>
      <c r="H91" s="1128"/>
      <c r="I91" s="1128"/>
      <c r="J91" s="1128"/>
      <c r="Y91" s="1114"/>
      <c r="Z91" s="1114"/>
      <c r="AA91" s="1114"/>
      <c r="AB91" s="1114"/>
      <c r="AC91" s="1114"/>
      <c r="AD91" s="1114"/>
      <c r="AE91" s="1114"/>
      <c r="AF91" s="1114"/>
      <c r="AG91" s="1114"/>
    </row>
    <row r="92" spans="1:36" s="1117" customFormat="1" ht="30" customHeight="1" thickBot="1" x14ac:dyDescent="0.3">
      <c r="A92" s="1114"/>
      <c r="B92" s="1127"/>
      <c r="C92" s="1114"/>
      <c r="D92" s="1843" t="s">
        <v>547</v>
      </c>
      <c r="E92" s="1843"/>
      <c r="F92" s="1843"/>
      <c r="G92" s="1843"/>
      <c r="H92" s="1843"/>
      <c r="I92" s="1843"/>
      <c r="J92" s="1843"/>
      <c r="K92" s="1843"/>
      <c r="L92" s="1843"/>
      <c r="M92" s="1843"/>
      <c r="N92" s="1843"/>
      <c r="O92" s="1843"/>
      <c r="P92" s="1843"/>
      <c r="Q92" s="1843"/>
      <c r="R92" s="1843"/>
      <c r="S92" s="1843"/>
      <c r="T92" s="1843"/>
      <c r="U92" s="1843"/>
      <c r="V92" s="1843"/>
      <c r="W92" s="1843"/>
      <c r="X92" s="1843"/>
      <c r="Y92" s="1130"/>
      <c r="Z92" s="1130"/>
      <c r="AA92" s="1130"/>
      <c r="AB92" s="1130"/>
      <c r="AC92" s="1130"/>
      <c r="AD92" s="1130"/>
      <c r="AE92" s="1130"/>
      <c r="AF92" s="1130"/>
      <c r="AG92" s="1114"/>
    </row>
    <row r="93" spans="1:36" s="1117" customFormat="1" ht="20.100000000000001" customHeight="1" thickBot="1" x14ac:dyDescent="0.3">
      <c r="A93" s="1114"/>
      <c r="B93" s="1131"/>
      <c r="C93" s="1124"/>
      <c r="D93" s="719">
        <v>2023</v>
      </c>
      <c r="E93" s="717">
        <f>D93+1</f>
        <v>2024</v>
      </c>
      <c r="F93" s="717">
        <f t="shared" ref="F93" si="180">E93+1</f>
        <v>2025</v>
      </c>
      <c r="G93" s="717">
        <f t="shared" ref="G93" si="181">F93+1</f>
        <v>2026</v>
      </c>
      <c r="H93" s="717">
        <f t="shared" ref="H93" si="182">G93+1</f>
        <v>2027</v>
      </c>
      <c r="I93" s="717">
        <f t="shared" ref="I93" si="183">H93+1</f>
        <v>2028</v>
      </c>
      <c r="J93" s="717">
        <f t="shared" ref="J93" si="184">I93+1</f>
        <v>2029</v>
      </c>
      <c r="K93" s="717">
        <f t="shared" ref="K93" si="185">J93+1</f>
        <v>2030</v>
      </c>
      <c r="L93" s="717">
        <f t="shared" ref="L93" si="186">K93+1</f>
        <v>2031</v>
      </c>
      <c r="M93" s="717">
        <f t="shared" ref="M93" si="187">L93+1</f>
        <v>2032</v>
      </c>
      <c r="N93" s="717">
        <f t="shared" ref="N93" si="188">M93+1</f>
        <v>2033</v>
      </c>
      <c r="O93" s="717">
        <f t="shared" ref="O93" si="189">N93+1</f>
        <v>2034</v>
      </c>
      <c r="P93" s="717">
        <f t="shared" ref="P93" si="190">O93+1</f>
        <v>2035</v>
      </c>
      <c r="Q93" s="717">
        <f t="shared" ref="Q93" si="191">P93+1</f>
        <v>2036</v>
      </c>
      <c r="R93" s="717">
        <f t="shared" ref="R93" si="192">Q93+1</f>
        <v>2037</v>
      </c>
      <c r="S93" s="717">
        <f t="shared" ref="S93" si="193">R93+1</f>
        <v>2038</v>
      </c>
      <c r="T93" s="717">
        <f t="shared" ref="T93" si="194">S93+1</f>
        <v>2039</v>
      </c>
      <c r="U93" s="717">
        <f t="shared" ref="U93" si="195">T93+1</f>
        <v>2040</v>
      </c>
      <c r="V93" s="717">
        <f t="shared" ref="V93" si="196">U93+1</f>
        <v>2041</v>
      </c>
      <c r="W93" s="717">
        <f t="shared" ref="W93" si="197">V93+1</f>
        <v>2042</v>
      </c>
      <c r="X93" s="718">
        <f t="shared" ref="X93" si="198">W93+1</f>
        <v>2043</v>
      </c>
      <c r="Y93" s="1114"/>
      <c r="Z93" s="1114"/>
      <c r="AA93" s="1114"/>
      <c r="AB93" s="1114"/>
      <c r="AC93" s="1114"/>
      <c r="AD93" s="1114"/>
      <c r="AE93" s="1114"/>
      <c r="AF93" s="1114"/>
      <c r="AG93" s="1114"/>
    </row>
    <row r="94" spans="1:36" s="1066" customFormat="1" ht="20.100000000000001" customHeight="1" x14ac:dyDescent="0.2">
      <c r="A94" s="1064"/>
      <c r="B94" s="1132" t="s">
        <v>287</v>
      </c>
      <c r="C94" s="1095"/>
      <c r="D94" s="1133">
        <f t="shared" ref="D94:X94" si="199">D58*D78</f>
        <v>13587847.936434407</v>
      </c>
      <c r="E94" s="1133">
        <f t="shared" si="199"/>
        <v>13907081.464010991</v>
      </c>
      <c r="F94" s="1133">
        <f t="shared" si="199"/>
        <v>14432724.559267223</v>
      </c>
      <c r="G94" s="1133">
        <f t="shared" si="199"/>
        <v>14762889.727415746</v>
      </c>
      <c r="H94" s="1133">
        <f t="shared" si="199"/>
        <v>15234675.823522329</v>
      </c>
      <c r="I94" s="1133">
        <f t="shared" si="199"/>
        <v>15713599.888454614</v>
      </c>
      <c r="J94" s="1133">
        <f t="shared" si="199"/>
        <v>16199750.820823181</v>
      </c>
      <c r="K94" s="1133">
        <f t="shared" si="199"/>
        <v>16693218.529387508</v>
      </c>
      <c r="L94" s="1133">
        <f t="shared" si="199"/>
        <v>17194093.943935409</v>
      </c>
      <c r="M94" s="1133">
        <f t="shared" si="199"/>
        <v>17881281.844722763</v>
      </c>
      <c r="N94" s="1133">
        <f t="shared" si="199"/>
        <v>18579197.905727264</v>
      </c>
      <c r="O94" s="1133">
        <f t="shared" si="199"/>
        <v>19251585.011647031</v>
      </c>
      <c r="P94" s="1133">
        <f t="shared" si="199"/>
        <v>19420373.537167426</v>
      </c>
      <c r="Q94" s="1133">
        <f t="shared" si="199"/>
        <v>20146142.161742046</v>
      </c>
      <c r="R94" s="1133">
        <f t="shared" si="199"/>
        <v>20883144.328017004</v>
      </c>
      <c r="S94" s="1133">
        <f t="shared" si="199"/>
        <v>21895320.266480431</v>
      </c>
      <c r="T94" s="1133">
        <f t="shared" si="199"/>
        <v>22923639.464300208</v>
      </c>
      <c r="U94" s="1133">
        <f t="shared" si="199"/>
        <v>23124622.775669094</v>
      </c>
      <c r="V94" s="1133">
        <f t="shared" si="199"/>
        <v>24217135.15755472</v>
      </c>
      <c r="W94" s="1133">
        <f t="shared" si="199"/>
        <v>25288002.504377272</v>
      </c>
      <c r="X94" s="1133">
        <f t="shared" si="199"/>
        <v>25509715.399886269</v>
      </c>
      <c r="Y94" s="1064"/>
      <c r="Z94" s="1064"/>
      <c r="AA94" s="1064"/>
      <c r="AB94" s="1064"/>
      <c r="AC94" s="1064"/>
      <c r="AD94" s="1064"/>
      <c r="AE94" s="1064"/>
      <c r="AF94" s="1064"/>
      <c r="AG94" s="1064"/>
    </row>
    <row r="95" spans="1:36" s="1066" customFormat="1" ht="20.100000000000001" customHeight="1" x14ac:dyDescent="0.2">
      <c r="A95" s="1064"/>
      <c r="B95" s="1134" t="s">
        <v>288</v>
      </c>
      <c r="C95" s="1095"/>
      <c r="D95" s="1133">
        <f t="shared" ref="D95:X95" si="200">D59*D79</f>
        <v>7361432.7156303395</v>
      </c>
      <c r="E95" s="1133">
        <f t="shared" si="200"/>
        <v>7477455.6335457424</v>
      </c>
      <c r="F95" s="1133">
        <f t="shared" si="200"/>
        <v>7701447.282275307</v>
      </c>
      <c r="G95" s="1133">
        <f t="shared" si="200"/>
        <v>7818106.3986446867</v>
      </c>
      <c r="H95" s="1133">
        <f t="shared" si="200"/>
        <v>8006995.7029563859</v>
      </c>
      <c r="I95" s="1133">
        <f t="shared" si="200"/>
        <v>8196307.5480960738</v>
      </c>
      <c r="J95" s="1133">
        <f t="shared" si="200"/>
        <v>8386042.6543118665</v>
      </c>
      <c r="K95" s="1133">
        <f t="shared" si="200"/>
        <v>8576201.7429475915</v>
      </c>
      <c r="L95" s="1133">
        <f t="shared" si="200"/>
        <v>8766785.5364443548</v>
      </c>
      <c r="M95" s="1133">
        <f t="shared" si="200"/>
        <v>9048277.533678906</v>
      </c>
      <c r="N95" s="1133">
        <f t="shared" si="200"/>
        <v>9330403.0072076134</v>
      </c>
      <c r="O95" s="1133">
        <f t="shared" si="200"/>
        <v>9595024.995582873</v>
      </c>
      <c r="P95" s="1133">
        <f t="shared" si="200"/>
        <v>9606017.5396622084</v>
      </c>
      <c r="Q95" s="1133">
        <f t="shared" si="200"/>
        <v>9889717.0821938049</v>
      </c>
      <c r="R95" s="1133">
        <f t="shared" si="200"/>
        <v>10174054.057665367</v>
      </c>
      <c r="S95" s="1133">
        <f t="shared" si="200"/>
        <v>10586578.695173329</v>
      </c>
      <c r="T95" s="1133">
        <f t="shared" si="200"/>
        <v>11000035.197104208</v>
      </c>
      <c r="U95" s="1133">
        <f t="shared" si="200"/>
        <v>11012637.391661711</v>
      </c>
      <c r="V95" s="1133">
        <f t="shared" si="200"/>
        <v>11445786.10112619</v>
      </c>
      <c r="W95" s="1133">
        <f t="shared" si="200"/>
        <v>11861607.879880575</v>
      </c>
      <c r="X95" s="1133">
        <f t="shared" si="200"/>
        <v>11875197.135513717</v>
      </c>
      <c r="Y95" s="1064"/>
      <c r="Z95" s="1064"/>
      <c r="AA95" s="1064"/>
      <c r="AB95" s="1064"/>
      <c r="AC95" s="1064"/>
      <c r="AD95" s="1064"/>
      <c r="AE95" s="1064"/>
      <c r="AF95" s="1064"/>
      <c r="AG95" s="1064"/>
    </row>
    <row r="96" spans="1:36" s="1066" customFormat="1" ht="20.100000000000001" customHeight="1" x14ac:dyDescent="0.2">
      <c r="A96" s="1064"/>
      <c r="B96" s="1134" t="s">
        <v>289</v>
      </c>
      <c r="C96" s="1095"/>
      <c r="D96" s="1133">
        <f t="shared" ref="D96:X96" si="201">D60*D80</f>
        <v>4472037.3630218208</v>
      </c>
      <c r="E96" s="1133">
        <f t="shared" si="201"/>
        <v>4576648.5150997015</v>
      </c>
      <c r="F96" s="1133">
        <f t="shared" si="201"/>
        <v>4749158.9020536272</v>
      </c>
      <c r="G96" s="1133">
        <f t="shared" si="201"/>
        <v>4857318.3620390939</v>
      </c>
      <c r="H96" s="1133">
        <f t="shared" si="201"/>
        <v>5012048.0618310701</v>
      </c>
      <c r="I96" s="1133">
        <f t="shared" si="201"/>
        <v>5169095.0272703441</v>
      </c>
      <c r="J96" s="1133">
        <f t="shared" si="201"/>
        <v>5328487.8034391822</v>
      </c>
      <c r="K96" s="1133">
        <f t="shared" si="201"/>
        <v>5490255.2561580949</v>
      </c>
      <c r="L96" s="1133">
        <f t="shared" si="201"/>
        <v>5654426.5754013397</v>
      </c>
      <c r="M96" s="1133">
        <f t="shared" si="201"/>
        <v>5879829.5744924406</v>
      </c>
      <c r="N96" s="1133">
        <f t="shared" si="201"/>
        <v>6108715.0409025699</v>
      </c>
      <c r="O96" s="1133">
        <f t="shared" si="201"/>
        <v>6329162.0193447759</v>
      </c>
      <c r="P96" s="1133">
        <f t="shared" si="201"/>
        <v>6384018.2060976913</v>
      </c>
      <c r="Q96" s="1133">
        <f t="shared" si="201"/>
        <v>6621940.1032305658</v>
      </c>
      <c r="R96" s="1133">
        <f t="shared" si="201"/>
        <v>6863506.6682300549</v>
      </c>
      <c r="S96" s="1133">
        <f t="shared" si="201"/>
        <v>7195455.440711542</v>
      </c>
      <c r="T96" s="1133">
        <f t="shared" si="201"/>
        <v>7532642.7632767661</v>
      </c>
      <c r="U96" s="1133">
        <f t="shared" si="201"/>
        <v>7597929.7723472156</v>
      </c>
      <c r="V96" s="1133">
        <f t="shared" si="201"/>
        <v>7956099.3884362504</v>
      </c>
      <c r="W96" s="1133">
        <f t="shared" si="201"/>
        <v>8307087.3283275524</v>
      </c>
      <c r="X96" s="1133">
        <f t="shared" si="201"/>
        <v>8379086.6123500969</v>
      </c>
      <c r="Y96" s="1064"/>
      <c r="Z96" s="1064"/>
      <c r="AA96" s="1064"/>
      <c r="AB96" s="1064"/>
      <c r="AC96" s="1064"/>
      <c r="AD96" s="1064"/>
      <c r="AE96" s="1064"/>
      <c r="AF96" s="1064"/>
      <c r="AG96" s="1064"/>
    </row>
    <row r="97" spans="1:33" s="1066" customFormat="1" ht="20.100000000000001" customHeight="1" thickBot="1" x14ac:dyDescent="0.25">
      <c r="A97" s="1064"/>
      <c r="B97" s="1135" t="s">
        <v>140</v>
      </c>
      <c r="C97" s="1095"/>
      <c r="D97" s="1133">
        <f t="shared" ref="D97:X97" si="202">D61*D81</f>
        <v>2693651.10825695</v>
      </c>
      <c r="E97" s="1133">
        <f t="shared" si="202"/>
        <v>2791661.409019256</v>
      </c>
      <c r="F97" s="1133">
        <f t="shared" si="202"/>
        <v>2847192.2627944448</v>
      </c>
      <c r="G97" s="1133">
        <f t="shared" si="202"/>
        <v>2903277.797826889</v>
      </c>
      <c r="H97" s="1133">
        <f t="shared" si="202"/>
        <v>2986350.4868736207</v>
      </c>
      <c r="I97" s="1133">
        <f t="shared" si="202"/>
        <v>3070296.6253271685</v>
      </c>
      <c r="J97" s="1133">
        <f t="shared" si="202"/>
        <v>3155123.5946085746</v>
      </c>
      <c r="K97" s="1133">
        <f t="shared" si="202"/>
        <v>3240838.8326392919</v>
      </c>
      <c r="L97" s="1133">
        <f t="shared" si="202"/>
        <v>3327449.8342497949</v>
      </c>
      <c r="M97" s="1133">
        <f t="shared" si="202"/>
        <v>3455780.4561917409</v>
      </c>
      <c r="N97" s="1133">
        <f t="shared" si="202"/>
        <v>3580938.3785427683</v>
      </c>
      <c r="O97" s="1133">
        <f t="shared" si="202"/>
        <v>3712032.1634856467</v>
      </c>
      <c r="P97" s="1133">
        <f t="shared" si="202"/>
        <v>3839923.3318887702</v>
      </c>
      <c r="Q97" s="1133">
        <f t="shared" si="202"/>
        <v>3973827.4896319932</v>
      </c>
      <c r="R97" s="1133">
        <f t="shared" si="202"/>
        <v>4160532.9628060022</v>
      </c>
      <c r="S97" s="1133">
        <f t="shared" si="202"/>
        <v>4184899.0403937278</v>
      </c>
      <c r="T97" s="1133">
        <f t="shared" si="202"/>
        <v>4374760.537525462</v>
      </c>
      <c r="U97" s="1133">
        <f t="shared" si="202"/>
        <v>4571454.3711444279</v>
      </c>
      <c r="V97" s="1133">
        <f t="shared" si="202"/>
        <v>4765522.1628766805</v>
      </c>
      <c r="W97" s="1133">
        <f t="shared" si="202"/>
        <v>4793431.34754238</v>
      </c>
      <c r="X97" s="1133">
        <f t="shared" si="202"/>
        <v>4990764.4024109496</v>
      </c>
      <c r="Y97" s="1064"/>
      <c r="Z97" s="1064"/>
      <c r="AA97" s="1064"/>
      <c r="AB97" s="1064"/>
      <c r="AC97" s="1064"/>
      <c r="AD97" s="1064"/>
      <c r="AE97" s="1064"/>
      <c r="AF97" s="1064"/>
      <c r="AG97" s="1064"/>
    </row>
    <row r="98" spans="1:33" s="1066" customFormat="1" ht="20.100000000000001" customHeight="1" thickBot="1" x14ac:dyDescent="0.25">
      <c r="A98" s="1064"/>
      <c r="B98" s="1135" t="s">
        <v>5</v>
      </c>
      <c r="C98" s="1095"/>
      <c r="D98" s="1133">
        <f t="shared" ref="D98:X98" si="203">SUM(D94:D97)</f>
        <v>28114969.12334352</v>
      </c>
      <c r="E98" s="1133">
        <f t="shared" si="203"/>
        <v>28752847.021675691</v>
      </c>
      <c r="F98" s="1133">
        <f t="shared" si="203"/>
        <v>29730523.006390605</v>
      </c>
      <c r="G98" s="1133">
        <f t="shared" si="203"/>
        <v>30341592.285926417</v>
      </c>
      <c r="H98" s="1133">
        <f t="shared" si="203"/>
        <v>31240070.075183406</v>
      </c>
      <c r="I98" s="1133">
        <f t="shared" si="203"/>
        <v>32149299.089148201</v>
      </c>
      <c r="J98" s="1133">
        <f t="shared" si="203"/>
        <v>33069404.873182803</v>
      </c>
      <c r="K98" s="1133">
        <f t="shared" si="203"/>
        <v>34000514.361132488</v>
      </c>
      <c r="L98" s="1133">
        <f t="shared" si="203"/>
        <v>34942755.890030898</v>
      </c>
      <c r="M98" s="1133">
        <f t="shared" si="203"/>
        <v>36265169.409085847</v>
      </c>
      <c r="N98" s="1133">
        <f t="shared" si="203"/>
        <v>37599254.332380213</v>
      </c>
      <c r="O98" s="1133">
        <f t="shared" si="203"/>
        <v>38887804.190060325</v>
      </c>
      <c r="P98" s="1133">
        <f t="shared" si="203"/>
        <v>39250332.614816099</v>
      </c>
      <c r="Q98" s="1133">
        <f t="shared" si="203"/>
        <v>40631626.836798415</v>
      </c>
      <c r="R98" s="1133">
        <f t="shared" si="203"/>
        <v>42081238.016718425</v>
      </c>
      <c r="S98" s="1133">
        <f t="shared" si="203"/>
        <v>43862253.44275903</v>
      </c>
      <c r="T98" s="1133">
        <f t="shared" si="203"/>
        <v>45831077.962206639</v>
      </c>
      <c r="U98" s="1133">
        <f t="shared" si="203"/>
        <v>46306644.310822442</v>
      </c>
      <c r="V98" s="1133">
        <f t="shared" si="203"/>
        <v>48384542.809993841</v>
      </c>
      <c r="W98" s="1133">
        <f t="shared" si="203"/>
        <v>50250129.06012778</v>
      </c>
      <c r="X98" s="1133">
        <f t="shared" si="203"/>
        <v>50754763.550161034</v>
      </c>
      <c r="Y98" s="1064"/>
      <c r="Z98" s="1064"/>
      <c r="AA98" s="1064"/>
      <c r="AB98" s="1064"/>
      <c r="AC98" s="1064"/>
      <c r="AD98" s="1064"/>
      <c r="AE98" s="1064"/>
      <c r="AF98" s="1064"/>
      <c r="AG98" s="1064"/>
    </row>
    <row r="99" spans="1:33" s="1066" customFormat="1" ht="20.100000000000001" customHeight="1" x14ac:dyDescent="0.2">
      <c r="A99" s="1064"/>
      <c r="B99" s="1136"/>
      <c r="C99" s="1095"/>
      <c r="D99" s="1133"/>
      <c r="E99" s="1133"/>
      <c r="F99" s="1133"/>
      <c r="G99" s="1133"/>
      <c r="H99" s="1133"/>
      <c r="I99" s="1133"/>
      <c r="J99" s="1133"/>
      <c r="K99" s="1133"/>
      <c r="L99" s="1133"/>
      <c r="M99" s="1133"/>
      <c r="N99" s="1133"/>
      <c r="O99" s="1133"/>
      <c r="P99" s="1133"/>
      <c r="Q99" s="1133"/>
      <c r="R99" s="1133"/>
      <c r="S99" s="1133"/>
      <c r="T99" s="1133"/>
      <c r="U99" s="1133"/>
      <c r="V99" s="1133"/>
      <c r="W99" s="1133"/>
      <c r="X99" s="1133"/>
      <c r="Y99" s="1064"/>
      <c r="Z99" s="1064"/>
      <c r="AA99" s="1064"/>
      <c r="AB99" s="1064"/>
      <c r="AC99" s="1064"/>
      <c r="AD99" s="1064"/>
      <c r="AE99" s="1064"/>
      <c r="AF99" s="1064"/>
      <c r="AG99" s="1064"/>
    </row>
    <row r="100" spans="1:33" s="1066" customFormat="1" ht="27" thickBot="1" x14ac:dyDescent="0.45">
      <c r="A100" s="1064"/>
      <c r="B100" s="1136"/>
      <c r="C100" s="1064"/>
      <c r="D100" s="1840" t="s">
        <v>548</v>
      </c>
      <c r="E100" s="1840"/>
      <c r="F100" s="1840"/>
      <c r="G100" s="1840"/>
      <c r="H100" s="1840"/>
      <c r="I100" s="1840"/>
      <c r="J100" s="1840"/>
      <c r="K100" s="1840"/>
      <c r="L100" s="1840"/>
      <c r="M100" s="1840"/>
      <c r="N100" s="1840"/>
      <c r="O100" s="1840"/>
      <c r="P100" s="1840"/>
      <c r="Q100" s="1840"/>
      <c r="R100" s="1840"/>
      <c r="S100" s="1840"/>
      <c r="T100" s="1840"/>
      <c r="U100" s="1840"/>
      <c r="V100" s="1840"/>
      <c r="W100" s="1840"/>
      <c r="X100" s="1840"/>
      <c r="Y100" s="1064"/>
      <c r="Z100" s="1064"/>
      <c r="AA100" s="1064"/>
      <c r="AB100" s="1064"/>
      <c r="AC100" s="1064"/>
      <c r="AD100" s="1064"/>
      <c r="AE100" s="1064"/>
      <c r="AF100" s="1064"/>
      <c r="AG100" s="1064"/>
    </row>
    <row r="101" spans="1:33" s="1066" customFormat="1" ht="20.100000000000001" customHeight="1" thickBot="1" x14ac:dyDescent="0.3">
      <c r="A101" s="1064"/>
      <c r="B101" s="1106"/>
      <c r="C101" s="1094"/>
      <c r="D101" s="719">
        <v>2023</v>
      </c>
      <c r="E101" s="717">
        <f>D101+1</f>
        <v>2024</v>
      </c>
      <c r="F101" s="717">
        <f t="shared" ref="F101" si="204">E101+1</f>
        <v>2025</v>
      </c>
      <c r="G101" s="717">
        <f t="shared" ref="G101" si="205">F101+1</f>
        <v>2026</v>
      </c>
      <c r="H101" s="717">
        <f t="shared" ref="H101" si="206">G101+1</f>
        <v>2027</v>
      </c>
      <c r="I101" s="717">
        <f t="shared" ref="I101" si="207">H101+1</f>
        <v>2028</v>
      </c>
      <c r="J101" s="717">
        <f t="shared" ref="J101" si="208">I101+1</f>
        <v>2029</v>
      </c>
      <c r="K101" s="717">
        <f t="shared" ref="K101" si="209">J101+1</f>
        <v>2030</v>
      </c>
      <c r="L101" s="717">
        <f t="shared" ref="L101" si="210">K101+1</f>
        <v>2031</v>
      </c>
      <c r="M101" s="717">
        <f t="shared" ref="M101" si="211">L101+1</f>
        <v>2032</v>
      </c>
      <c r="N101" s="717">
        <f t="shared" ref="N101" si="212">M101+1</f>
        <v>2033</v>
      </c>
      <c r="O101" s="717">
        <f t="shared" ref="O101" si="213">N101+1</f>
        <v>2034</v>
      </c>
      <c r="P101" s="717">
        <f t="shared" ref="P101" si="214">O101+1</f>
        <v>2035</v>
      </c>
      <c r="Q101" s="717">
        <f t="shared" ref="Q101" si="215">P101+1</f>
        <v>2036</v>
      </c>
      <c r="R101" s="717">
        <f t="shared" ref="R101" si="216">Q101+1</f>
        <v>2037</v>
      </c>
      <c r="S101" s="717">
        <f t="shared" ref="S101" si="217">R101+1</f>
        <v>2038</v>
      </c>
      <c r="T101" s="717">
        <f t="shared" ref="T101" si="218">S101+1</f>
        <v>2039</v>
      </c>
      <c r="U101" s="717">
        <f t="shared" ref="U101" si="219">T101+1</f>
        <v>2040</v>
      </c>
      <c r="V101" s="717">
        <f t="shared" ref="V101" si="220">U101+1</f>
        <v>2041</v>
      </c>
      <c r="W101" s="717">
        <f t="shared" ref="W101" si="221">V101+1</f>
        <v>2042</v>
      </c>
      <c r="X101" s="718">
        <f t="shared" ref="X101" si="222">W101+1</f>
        <v>2043</v>
      </c>
      <c r="Y101" s="1064"/>
      <c r="Z101" s="1064"/>
      <c r="AA101" s="1064"/>
      <c r="AB101" s="1064"/>
      <c r="AC101" s="1064"/>
      <c r="AD101" s="1064"/>
      <c r="AE101" s="1064"/>
      <c r="AF101" s="1064"/>
      <c r="AG101" s="1064"/>
    </row>
    <row r="102" spans="1:33" s="1066" customFormat="1" ht="20.100000000000001" customHeight="1" x14ac:dyDescent="0.2">
      <c r="A102" s="1064"/>
      <c r="B102" s="1137" t="s">
        <v>287</v>
      </c>
      <c r="C102" s="1095"/>
      <c r="D102" s="1133">
        <f>D66*D85</f>
        <v>14908017.575355975</v>
      </c>
      <c r="E102" s="1133">
        <f t="shared" ref="E102:X102" si="223">E66*E85</f>
        <v>15172971.209954459</v>
      </c>
      <c r="F102" s="1133">
        <f t="shared" si="223"/>
        <v>15325050.243179101</v>
      </c>
      <c r="G102" s="1133">
        <f t="shared" si="223"/>
        <v>15596511.336273706</v>
      </c>
      <c r="H102" s="1133">
        <f t="shared" si="223"/>
        <v>15752835.52175305</v>
      </c>
      <c r="I102" s="1133">
        <f t="shared" si="223"/>
        <v>16030958.738614736</v>
      </c>
      <c r="J102" s="1133">
        <f t="shared" si="223"/>
        <v>16272595.587223882</v>
      </c>
      <c r="K102" s="1133">
        <f t="shared" si="223"/>
        <v>16435696.180424575</v>
      </c>
      <c r="L102" s="1133">
        <f t="shared" si="223"/>
        <v>16724315.351977739</v>
      </c>
      <c r="M102" s="1133">
        <f t="shared" si="223"/>
        <v>16891943.542585798</v>
      </c>
      <c r="N102" s="1133">
        <f t="shared" si="223"/>
        <v>17314011.161362559</v>
      </c>
      <c r="O102" s="1133">
        <f t="shared" si="223"/>
        <v>17487549.88639047</v>
      </c>
      <c r="P102" s="1133">
        <f t="shared" si="223"/>
        <v>17920679.49754167</v>
      </c>
      <c r="Q102" s="1133">
        <f t="shared" si="223"/>
        <v>18100298.873008937</v>
      </c>
      <c r="R102" s="1133">
        <f t="shared" si="223"/>
        <v>18544764.888002582</v>
      </c>
      <c r="S102" s="1133">
        <f t="shared" si="223"/>
        <v>18730639.485437758</v>
      </c>
      <c r="T102" s="1133">
        <f t="shared" si="223"/>
        <v>19186722.882746156</v>
      </c>
      <c r="U102" s="1133">
        <f t="shared" si="223"/>
        <v>19379031.839665737</v>
      </c>
      <c r="V102" s="1133">
        <f t="shared" si="223"/>
        <v>19847020.317991246</v>
      </c>
      <c r="W102" s="1133">
        <f t="shared" si="223"/>
        <v>20045947.451021709</v>
      </c>
      <c r="X102" s="1133">
        <f t="shared" si="223"/>
        <v>20246868.435200684</v>
      </c>
      <c r="Y102" s="1064"/>
      <c r="Z102" s="1064"/>
      <c r="AA102" s="1064"/>
      <c r="AB102" s="1064"/>
      <c r="AC102" s="1064"/>
      <c r="AD102" s="1064"/>
      <c r="AE102" s="1064"/>
      <c r="AF102" s="1064"/>
      <c r="AG102" s="1064"/>
    </row>
    <row r="103" spans="1:33" s="1066" customFormat="1" ht="20.100000000000001" customHeight="1" x14ac:dyDescent="0.2">
      <c r="A103" s="1064"/>
      <c r="B103" s="1138" t="s">
        <v>288</v>
      </c>
      <c r="C103" s="1095"/>
      <c r="D103" s="1133">
        <f>D67*D86</f>
        <v>8092722.563217951</v>
      </c>
      <c r="E103" s="1133">
        <f t="shared" ref="E103:X103" si="224">E67*E86</f>
        <v>8173577.7167476062</v>
      </c>
      <c r="F103" s="1133">
        <f t="shared" si="224"/>
        <v>8192383.5390298394</v>
      </c>
      <c r="G103" s="1133">
        <f t="shared" si="224"/>
        <v>8273754.7057357524</v>
      </c>
      <c r="H103" s="1133">
        <f t="shared" si="224"/>
        <v>8292791.0159043139</v>
      </c>
      <c r="I103" s="1133">
        <f t="shared" si="224"/>
        <v>8374681.2341991365</v>
      </c>
      <c r="J103" s="1133">
        <f t="shared" si="224"/>
        <v>8435919.5055834632</v>
      </c>
      <c r="K103" s="1133">
        <f t="shared" si="224"/>
        <v>8455328.9256082047</v>
      </c>
      <c r="L103" s="1133">
        <f t="shared" si="224"/>
        <v>8538027.6522321608</v>
      </c>
      <c r="M103" s="1133">
        <f t="shared" si="224"/>
        <v>8557672.003363695</v>
      </c>
      <c r="N103" s="1133">
        <f t="shared" si="224"/>
        <v>8704433.5753474813</v>
      </c>
      <c r="O103" s="1133">
        <f t="shared" si="224"/>
        <v>8724460.7943399753</v>
      </c>
      <c r="P103" s="1133">
        <f t="shared" si="224"/>
        <v>8872191.524093233</v>
      </c>
      <c r="Q103" s="1133">
        <f t="shared" si="224"/>
        <v>8892604.7216963042</v>
      </c>
      <c r="R103" s="1133">
        <f t="shared" si="224"/>
        <v>9041310.4240507577</v>
      </c>
      <c r="S103" s="1133">
        <f t="shared" si="224"/>
        <v>9062112.7315500546</v>
      </c>
      <c r="T103" s="1133">
        <f t="shared" si="224"/>
        <v>9211799.2543452177</v>
      </c>
      <c r="U103" s="1133">
        <f t="shared" si="224"/>
        <v>9232993.8236856256</v>
      </c>
      <c r="V103" s="1133">
        <f t="shared" si="224"/>
        <v>9383667.0479494836</v>
      </c>
      <c r="W103" s="1133">
        <f t="shared" si="224"/>
        <v>9405257.0518590081</v>
      </c>
      <c r="X103" s="1133">
        <f t="shared" si="224"/>
        <v>9426896.7301939409</v>
      </c>
      <c r="Y103" s="1064"/>
      <c r="Z103" s="1064"/>
      <c r="AA103" s="1064"/>
      <c r="AB103" s="1064"/>
      <c r="AC103" s="1064"/>
      <c r="AD103" s="1064"/>
      <c r="AE103" s="1064"/>
      <c r="AF103" s="1064"/>
      <c r="AG103" s="1064"/>
    </row>
    <row r="104" spans="1:33" s="1066" customFormat="1" ht="20.100000000000001" customHeight="1" x14ac:dyDescent="0.2">
      <c r="A104" s="1064"/>
      <c r="B104" s="1138" t="s">
        <v>289</v>
      </c>
      <c r="C104" s="1095"/>
      <c r="D104" s="1133">
        <f>D68*D87</f>
        <v>4906924.4039546754</v>
      </c>
      <c r="E104" s="1133">
        <f t="shared" ref="E104:X104" si="225">E68*E87</f>
        <v>4993647.6075791726</v>
      </c>
      <c r="F104" s="1133">
        <f t="shared" si="225"/>
        <v>5043208.8287796527</v>
      </c>
      <c r="G104" s="1133">
        <f t="shared" si="225"/>
        <v>5132043.1201102911</v>
      </c>
      <c r="H104" s="1133">
        <f t="shared" si="225"/>
        <v>5182977.8965050336</v>
      </c>
      <c r="I104" s="1133">
        <f t="shared" si="225"/>
        <v>5273972.9905251861</v>
      </c>
      <c r="J104" s="1133">
        <f t="shared" si="225"/>
        <v>5352947.9820990851</v>
      </c>
      <c r="K104" s="1133">
        <f t="shared" si="225"/>
        <v>5406075.2068982106</v>
      </c>
      <c r="L104" s="1133">
        <f t="shared" si="225"/>
        <v>5500473.9632024216</v>
      </c>
      <c r="M104" s="1133">
        <f t="shared" si="225"/>
        <v>5555065.3617592584</v>
      </c>
      <c r="N104" s="1133">
        <f t="shared" si="225"/>
        <v>5693312.6248698328</v>
      </c>
      <c r="O104" s="1133">
        <f t="shared" si="225"/>
        <v>5749817.918903077</v>
      </c>
      <c r="P104" s="1133">
        <f t="shared" si="225"/>
        <v>5891656.0491893059</v>
      </c>
      <c r="Q104" s="1133">
        <f t="shared" si="225"/>
        <v>5950129.8726621186</v>
      </c>
      <c r="R104" s="1133">
        <f t="shared" si="225"/>
        <v>6095647.1199856903</v>
      </c>
      <c r="S104" s="1133">
        <f t="shared" si="225"/>
        <v>6156145.5249622753</v>
      </c>
      <c r="T104" s="1133">
        <f t="shared" si="225"/>
        <v>6305432.2311207596</v>
      </c>
      <c r="U104" s="1133">
        <f t="shared" si="225"/>
        <v>6368012.7226029579</v>
      </c>
      <c r="V104" s="1133">
        <f t="shared" si="225"/>
        <v>6521161.3696731944</v>
      </c>
      <c r="W104" s="1133">
        <f t="shared" si="225"/>
        <v>6585882.9412626391</v>
      </c>
      <c r="X104" s="1133">
        <f t="shared" si="225"/>
        <v>6651246.8649718305</v>
      </c>
      <c r="Y104" s="1064"/>
      <c r="Z104" s="1064"/>
      <c r="AA104" s="1064"/>
      <c r="AB104" s="1064"/>
      <c r="AC104" s="1064"/>
      <c r="AD104" s="1064"/>
      <c r="AE104" s="1064"/>
      <c r="AF104" s="1064"/>
      <c r="AG104" s="1064"/>
    </row>
    <row r="105" spans="1:33" s="1066" customFormat="1" ht="20.100000000000001" customHeight="1" thickBot="1" x14ac:dyDescent="0.25">
      <c r="A105" s="1064"/>
      <c r="B105" s="1139" t="s">
        <v>140</v>
      </c>
      <c r="C105" s="1095"/>
      <c r="D105" s="1133">
        <f>D69*D88</f>
        <v>2377468.1923337495</v>
      </c>
      <c r="E105" s="1133">
        <f t="shared" ref="E105:X105" si="226">E69*E88</f>
        <v>2441992.6554077426</v>
      </c>
      <c r="F105" s="1133">
        <f t="shared" si="226"/>
        <v>2491546.5230221562</v>
      </c>
      <c r="G105" s="1133">
        <f t="shared" si="226"/>
        <v>2542105.9570497638</v>
      </c>
      <c r="H105" s="1133">
        <f t="shared" si="226"/>
        <v>2610982.6385887507</v>
      </c>
      <c r="I105" s="1133">
        <f t="shared" si="226"/>
        <v>2663965.71686691</v>
      </c>
      <c r="J105" s="1133">
        <f t="shared" si="226"/>
        <v>2740524.1466874946</v>
      </c>
      <c r="K105" s="1133">
        <f t="shared" si="226"/>
        <v>2796135.9317837036</v>
      </c>
      <c r="L105" s="1133">
        <f t="shared" si="226"/>
        <v>2871614.3161226292</v>
      </c>
      <c r="M105" s="1133">
        <f t="shared" si="226"/>
        <v>2929886.2340768767</v>
      </c>
      <c r="N105" s="1133">
        <f t="shared" si="226"/>
        <v>2989340.6285228315</v>
      </c>
      <c r="O105" s="1133">
        <f t="shared" si="226"/>
        <v>3069903.6252061147</v>
      </c>
      <c r="P105" s="1133">
        <f t="shared" si="226"/>
        <v>3132199.3071753425</v>
      </c>
      <c r="Q105" s="1133">
        <f t="shared" si="226"/>
        <v>3242374.7285385639</v>
      </c>
      <c r="R105" s="1133">
        <f t="shared" si="226"/>
        <v>3308170.2614196772</v>
      </c>
      <c r="S105" s="1133">
        <f t="shared" si="226"/>
        <v>3423827.6337943235</v>
      </c>
      <c r="T105" s="1133">
        <f t="shared" si="226"/>
        <v>3493305.279815861</v>
      </c>
      <c r="U105" s="1133">
        <f t="shared" si="226"/>
        <v>3564192.7933345381</v>
      </c>
      <c r="V105" s="1133">
        <f t="shared" si="226"/>
        <v>3693786.7962769913</v>
      </c>
      <c r="W105" s="1133">
        <f t="shared" si="226"/>
        <v>3768742.5589379622</v>
      </c>
      <c r="X105" s="1133">
        <f t="shared" si="226"/>
        <v>3845219.3531759996</v>
      </c>
      <c r="Y105" s="1064"/>
      <c r="Z105" s="1064"/>
      <c r="AA105" s="1064"/>
      <c r="AB105" s="1064"/>
      <c r="AC105" s="1064"/>
      <c r="AD105" s="1064"/>
      <c r="AE105" s="1064"/>
      <c r="AF105" s="1064"/>
      <c r="AG105" s="1064"/>
    </row>
    <row r="106" spans="1:33" s="1066" customFormat="1" ht="20.100000000000001" customHeight="1" thickBot="1" x14ac:dyDescent="0.25">
      <c r="A106" s="1064"/>
      <c r="B106" s="1135" t="s">
        <v>5</v>
      </c>
      <c r="C106" s="1095"/>
      <c r="D106" s="1133">
        <f t="shared" ref="D106:X106" si="227">SUM(D102:D105)</f>
        <v>30285132.73486235</v>
      </c>
      <c r="E106" s="1133">
        <f t="shared" si="227"/>
        <v>30782189.189688981</v>
      </c>
      <c r="F106" s="1133">
        <f t="shared" si="227"/>
        <v>31052189.134010751</v>
      </c>
      <c r="G106" s="1133">
        <f t="shared" si="227"/>
        <v>31544415.119169515</v>
      </c>
      <c r="H106" s="1133">
        <f t="shared" si="227"/>
        <v>31839587.07275115</v>
      </c>
      <c r="I106" s="1133">
        <f t="shared" si="227"/>
        <v>32343578.680205971</v>
      </c>
      <c r="J106" s="1133">
        <f t="shared" si="227"/>
        <v>32801987.221593924</v>
      </c>
      <c r="K106" s="1133">
        <f t="shared" si="227"/>
        <v>33093236.244714696</v>
      </c>
      <c r="L106" s="1133">
        <f t="shared" si="227"/>
        <v>33634431.283534952</v>
      </c>
      <c r="M106" s="1133">
        <f t="shared" si="227"/>
        <v>33934567.141785629</v>
      </c>
      <c r="N106" s="1133">
        <f t="shared" si="227"/>
        <v>34701097.990102701</v>
      </c>
      <c r="O106" s="1133">
        <f t="shared" si="227"/>
        <v>35031732.224839635</v>
      </c>
      <c r="P106" s="1133">
        <f t="shared" si="227"/>
        <v>35816726.377999552</v>
      </c>
      <c r="Q106" s="1133">
        <f t="shared" si="227"/>
        <v>36185408.195905924</v>
      </c>
      <c r="R106" s="1133">
        <f t="shared" si="227"/>
        <v>36989892.693458706</v>
      </c>
      <c r="S106" s="1133">
        <f t="shared" si="227"/>
        <v>37372725.37574441</v>
      </c>
      <c r="T106" s="1133">
        <f t="shared" si="227"/>
        <v>38197259.648027994</v>
      </c>
      <c r="U106" s="1133">
        <f t="shared" si="227"/>
        <v>38544231.179288857</v>
      </c>
      <c r="V106" s="1133">
        <f t="shared" si="227"/>
        <v>39445635.531890914</v>
      </c>
      <c r="W106" s="1133">
        <f t="shared" si="227"/>
        <v>39805830.003081314</v>
      </c>
      <c r="X106" s="1133">
        <f t="shared" si="227"/>
        <v>40170231.383542456</v>
      </c>
      <c r="Y106" s="1064"/>
      <c r="Z106" s="1064"/>
      <c r="AA106" s="1064"/>
      <c r="AB106" s="1064"/>
      <c r="AC106" s="1064"/>
      <c r="AD106" s="1064"/>
      <c r="AE106" s="1064"/>
      <c r="AF106" s="1064"/>
      <c r="AG106" s="1064"/>
    </row>
    <row r="107" spans="1:33" s="1066" customFormat="1" ht="20.100000000000001" customHeight="1" x14ac:dyDescent="0.2">
      <c r="A107" s="1064"/>
      <c r="B107" s="1136"/>
      <c r="C107" s="1095"/>
      <c r="D107" s="1133"/>
      <c r="E107" s="1133"/>
      <c r="F107" s="1133"/>
      <c r="G107" s="1133"/>
      <c r="H107" s="1133"/>
      <c r="I107" s="1133"/>
      <c r="J107" s="1133"/>
      <c r="K107" s="1133"/>
      <c r="L107" s="1133"/>
      <c r="M107" s="1133"/>
      <c r="N107" s="1133"/>
      <c r="O107" s="1133"/>
      <c r="P107" s="1133"/>
      <c r="Q107" s="1133"/>
      <c r="R107" s="1133"/>
      <c r="S107" s="1133"/>
      <c r="T107" s="1133"/>
      <c r="U107" s="1133"/>
      <c r="V107" s="1133"/>
      <c r="W107" s="1133"/>
      <c r="X107" s="1133"/>
      <c r="Y107" s="1064"/>
      <c r="Z107" s="1064"/>
      <c r="AA107" s="1064"/>
      <c r="AB107" s="1064"/>
      <c r="AC107" s="1064"/>
      <c r="AD107" s="1064"/>
      <c r="AE107" s="1064"/>
      <c r="AF107" s="1064"/>
      <c r="AG107" s="1064"/>
    </row>
    <row r="108" spans="1:33" s="1066" customFormat="1" ht="20.100000000000001" customHeight="1" x14ac:dyDescent="0.25">
      <c r="A108" s="1064"/>
      <c r="B108" s="1065"/>
      <c r="C108" s="1064"/>
      <c r="Y108" s="1064"/>
      <c r="Z108" s="1064"/>
      <c r="AA108" s="1064"/>
      <c r="AB108" s="1064"/>
      <c r="AC108" s="1064"/>
      <c r="AD108" s="1064"/>
      <c r="AE108" s="1064"/>
      <c r="AF108" s="1064"/>
      <c r="AG108" s="1064"/>
    </row>
    <row r="109" spans="1:33" s="1064" customFormat="1" ht="27" thickBot="1" x14ac:dyDescent="0.45">
      <c r="B109" s="1141"/>
      <c r="C109" s="1142"/>
      <c r="D109" s="1841" t="s">
        <v>549</v>
      </c>
      <c r="E109" s="1841"/>
      <c r="F109" s="1841"/>
      <c r="G109" s="1841"/>
      <c r="H109" s="1841"/>
      <c r="I109" s="1841"/>
      <c r="J109" s="1841"/>
      <c r="K109" s="1841"/>
      <c r="L109" s="1841"/>
      <c r="M109" s="1841"/>
      <c r="N109" s="1841"/>
      <c r="O109" s="1841"/>
      <c r="P109" s="1841"/>
      <c r="Q109" s="1841"/>
      <c r="R109" s="1841"/>
      <c r="S109" s="1841"/>
      <c r="T109" s="1841"/>
      <c r="U109" s="1841"/>
      <c r="V109" s="1841"/>
      <c r="W109" s="1841"/>
      <c r="X109" s="1841"/>
      <c r="Y109" s="1111"/>
      <c r="AG109" s="1143"/>
    </row>
    <row r="110" spans="1:33" s="1066" customFormat="1" ht="20.100000000000001" customHeight="1" thickBot="1" x14ac:dyDescent="0.3">
      <c r="A110" s="1064"/>
      <c r="B110" s="1106"/>
      <c r="C110" s="1094"/>
      <c r="D110" s="719">
        <v>2023</v>
      </c>
      <c r="E110" s="717">
        <f>D110+1</f>
        <v>2024</v>
      </c>
      <c r="F110" s="717">
        <f t="shared" ref="F110" si="228">E110+1</f>
        <v>2025</v>
      </c>
      <c r="G110" s="717">
        <f t="shared" ref="G110" si="229">F110+1</f>
        <v>2026</v>
      </c>
      <c r="H110" s="717">
        <f t="shared" ref="H110" si="230">G110+1</f>
        <v>2027</v>
      </c>
      <c r="I110" s="717">
        <f t="shared" ref="I110" si="231">H110+1</f>
        <v>2028</v>
      </c>
      <c r="J110" s="717">
        <f t="shared" ref="J110" si="232">I110+1</f>
        <v>2029</v>
      </c>
      <c r="K110" s="717">
        <f t="shared" ref="K110" si="233">J110+1</f>
        <v>2030</v>
      </c>
      <c r="L110" s="717">
        <f t="shared" ref="L110" si="234">K110+1</f>
        <v>2031</v>
      </c>
      <c r="M110" s="717">
        <f t="shared" ref="M110" si="235">L110+1</f>
        <v>2032</v>
      </c>
      <c r="N110" s="717">
        <f t="shared" ref="N110" si="236">M110+1</f>
        <v>2033</v>
      </c>
      <c r="O110" s="717">
        <f t="shared" ref="O110" si="237">N110+1</f>
        <v>2034</v>
      </c>
      <c r="P110" s="717">
        <f t="shared" ref="P110" si="238">O110+1</f>
        <v>2035</v>
      </c>
      <c r="Q110" s="717">
        <f t="shared" ref="Q110" si="239">P110+1</f>
        <v>2036</v>
      </c>
      <c r="R110" s="717">
        <f t="shared" ref="R110" si="240">Q110+1</f>
        <v>2037</v>
      </c>
      <c r="S110" s="717">
        <f t="shared" ref="S110" si="241">R110+1</f>
        <v>2038</v>
      </c>
      <c r="T110" s="717">
        <f t="shared" ref="T110" si="242">S110+1</f>
        <v>2039</v>
      </c>
      <c r="U110" s="717">
        <f t="shared" ref="U110" si="243">T110+1</f>
        <v>2040</v>
      </c>
      <c r="V110" s="717">
        <f t="shared" ref="V110" si="244">U110+1</f>
        <v>2041</v>
      </c>
      <c r="W110" s="717">
        <f t="shared" ref="W110" si="245">V110+1</f>
        <v>2042</v>
      </c>
      <c r="X110" s="718">
        <f t="shared" ref="X110" si="246">W110+1</f>
        <v>2043</v>
      </c>
      <c r="Y110" s="1064"/>
      <c r="Z110" s="1064"/>
      <c r="AA110" s="1064"/>
      <c r="AB110" s="1064"/>
      <c r="AC110" s="1064"/>
      <c r="AD110" s="1064"/>
      <c r="AE110" s="1064"/>
      <c r="AF110" s="1064"/>
      <c r="AG110" s="1064"/>
    </row>
    <row r="111" spans="1:33" s="1066" customFormat="1" ht="20.100000000000001" customHeight="1" x14ac:dyDescent="0.2">
      <c r="A111" s="1064"/>
      <c r="B111" s="1144" t="s">
        <v>287</v>
      </c>
      <c r="C111" s="1095"/>
      <c r="D111" s="1145">
        <f>D102-D94</f>
        <v>1320169.6389215682</v>
      </c>
      <c r="E111" s="1145">
        <f t="shared" ref="E111:X111" si="247">E102-E94</f>
        <v>1265889.7459434681</v>
      </c>
      <c r="F111" s="1145">
        <f t="shared" si="247"/>
        <v>892325.68391187862</v>
      </c>
      <c r="G111" s="1145">
        <f t="shared" si="247"/>
        <v>833621.60885795951</v>
      </c>
      <c r="H111" s="1145">
        <f t="shared" si="247"/>
        <v>518159.69823072106</v>
      </c>
      <c r="I111" s="1145">
        <f t="shared" si="247"/>
        <v>317358.85016012192</v>
      </c>
      <c r="J111" s="1145">
        <f t="shared" si="247"/>
        <v>72844.766400700435</v>
      </c>
      <c r="K111" s="1145">
        <f t="shared" si="247"/>
        <v>-257522.34896293283</v>
      </c>
      <c r="L111" s="1145">
        <f t="shared" si="247"/>
        <v>-469778.59195766971</v>
      </c>
      <c r="M111" s="1145">
        <f t="shared" si="247"/>
        <v>-989338.3021369651</v>
      </c>
      <c r="N111" s="1145">
        <f t="shared" si="247"/>
        <v>-1265186.7443647049</v>
      </c>
      <c r="O111" s="1145">
        <f t="shared" si="247"/>
        <v>-1764035.1252565607</v>
      </c>
      <c r="P111" s="1145">
        <f t="shared" si="247"/>
        <v>-1499694.0396257564</v>
      </c>
      <c r="Q111" s="1145">
        <f t="shared" si="247"/>
        <v>-2045843.2887331098</v>
      </c>
      <c r="R111" s="1145">
        <f t="shared" si="247"/>
        <v>-2338379.4400144219</v>
      </c>
      <c r="S111" s="1145">
        <f t="shared" si="247"/>
        <v>-3164680.7810426727</v>
      </c>
      <c r="T111" s="1145">
        <f t="shared" si="247"/>
        <v>-3736916.5815540515</v>
      </c>
      <c r="U111" s="1145">
        <f t="shared" si="247"/>
        <v>-3745590.9360033572</v>
      </c>
      <c r="V111" s="1145">
        <f t="shared" si="247"/>
        <v>-4370114.8395634741</v>
      </c>
      <c r="W111" s="1145">
        <f t="shared" si="247"/>
        <v>-5242055.0533555634</v>
      </c>
      <c r="X111" s="1145">
        <f t="shared" si="247"/>
        <v>-5262846.9646855853</v>
      </c>
      <c r="Y111" s="1064"/>
      <c r="Z111" s="1064"/>
      <c r="AA111" s="1064"/>
      <c r="AB111" s="1064"/>
      <c r="AC111" s="1064"/>
      <c r="AD111" s="1064"/>
      <c r="AE111" s="1064"/>
      <c r="AF111" s="1064"/>
      <c r="AG111" s="1064"/>
    </row>
    <row r="112" spans="1:33" s="1066" customFormat="1" ht="20.100000000000001" customHeight="1" x14ac:dyDescent="0.2">
      <c r="A112" s="1064"/>
      <c r="B112" s="1027" t="s">
        <v>288</v>
      </c>
      <c r="C112" s="1095"/>
      <c r="D112" s="1146">
        <f>D103-D95</f>
        <v>731289.84758761153</v>
      </c>
      <c r="E112" s="1146">
        <f t="shared" ref="E112:X112" si="248">E103-E95</f>
        <v>696122.0832018638</v>
      </c>
      <c r="F112" s="1146">
        <f t="shared" si="248"/>
        <v>490936.25675453246</v>
      </c>
      <c r="G112" s="1146">
        <f t="shared" si="248"/>
        <v>455648.30709106568</v>
      </c>
      <c r="H112" s="1146">
        <f t="shared" si="248"/>
        <v>285795.31294792797</v>
      </c>
      <c r="I112" s="1146">
        <f t="shared" si="248"/>
        <v>178373.6861030627</v>
      </c>
      <c r="J112" s="1146">
        <f t="shared" si="248"/>
        <v>49876.851271596737</v>
      </c>
      <c r="K112" s="1146">
        <f t="shared" si="248"/>
        <v>-120872.81733938679</v>
      </c>
      <c r="L112" s="1146">
        <f t="shared" si="248"/>
        <v>-228757.88421219401</v>
      </c>
      <c r="M112" s="1146">
        <f t="shared" si="248"/>
        <v>-490605.53031521104</v>
      </c>
      <c r="N112" s="1146">
        <f t="shared" si="248"/>
        <v>-625969.43186013214</v>
      </c>
      <c r="O112" s="1146">
        <f t="shared" si="248"/>
        <v>-870564.20124289766</v>
      </c>
      <c r="P112" s="1146">
        <f t="shared" si="248"/>
        <v>-733826.01556897536</v>
      </c>
      <c r="Q112" s="1146">
        <f t="shared" si="248"/>
        <v>-997112.36049750075</v>
      </c>
      <c r="R112" s="1146">
        <f t="shared" si="248"/>
        <v>-1132743.633614609</v>
      </c>
      <c r="S112" s="1146">
        <f t="shared" si="248"/>
        <v>-1524465.9636232741</v>
      </c>
      <c r="T112" s="1146">
        <f t="shared" si="248"/>
        <v>-1788235.9427589905</v>
      </c>
      <c r="U112" s="1146">
        <f t="shared" si="248"/>
        <v>-1779643.5679760855</v>
      </c>
      <c r="V112" s="1146">
        <f t="shared" si="248"/>
        <v>-2062119.0531767067</v>
      </c>
      <c r="W112" s="1146">
        <f t="shared" si="248"/>
        <v>-2456350.8280215673</v>
      </c>
      <c r="X112" s="1146">
        <f t="shared" si="248"/>
        <v>-2448300.4053197764</v>
      </c>
      <c r="Y112" s="1064"/>
      <c r="Z112" s="1064"/>
      <c r="AA112" s="1064"/>
      <c r="AB112" s="1064"/>
      <c r="AC112" s="1064"/>
      <c r="AD112" s="1064"/>
      <c r="AE112" s="1064"/>
      <c r="AF112" s="1064"/>
      <c r="AG112" s="1064"/>
    </row>
    <row r="113" spans="1:33" s="1066" customFormat="1" ht="20.100000000000001" customHeight="1" x14ac:dyDescent="0.2">
      <c r="A113" s="1064"/>
      <c r="B113" s="1027" t="s">
        <v>289</v>
      </c>
      <c r="C113" s="1095"/>
      <c r="D113" s="1146">
        <f>D104-D96</f>
        <v>434887.04093285464</v>
      </c>
      <c r="E113" s="1146">
        <f t="shared" ref="E113:X113" si="249">E104-E96</f>
        <v>416999.09247947112</v>
      </c>
      <c r="F113" s="1146">
        <f t="shared" si="249"/>
        <v>294049.92672602553</v>
      </c>
      <c r="G113" s="1146">
        <f t="shared" si="249"/>
        <v>274724.7580711972</v>
      </c>
      <c r="H113" s="1146">
        <f t="shared" si="249"/>
        <v>170929.83467396349</v>
      </c>
      <c r="I113" s="1146">
        <f t="shared" si="249"/>
        <v>104877.96325484198</v>
      </c>
      <c r="J113" s="1146">
        <f t="shared" si="249"/>
        <v>24460.178659902886</v>
      </c>
      <c r="K113" s="1146">
        <f t="shared" si="249"/>
        <v>-84180.049259884283</v>
      </c>
      <c r="L113" s="1146">
        <f t="shared" si="249"/>
        <v>-153952.61219891813</v>
      </c>
      <c r="M113" s="1146">
        <f t="shared" si="249"/>
        <v>-324764.21273318212</v>
      </c>
      <c r="N113" s="1146">
        <f t="shared" si="249"/>
        <v>-415402.41603273712</v>
      </c>
      <c r="O113" s="1146">
        <f t="shared" si="249"/>
        <v>-579344.10044169892</v>
      </c>
      <c r="P113" s="1146">
        <f t="shared" si="249"/>
        <v>-492362.15690838546</v>
      </c>
      <c r="Q113" s="1146">
        <f t="shared" si="249"/>
        <v>-671810.23056844715</v>
      </c>
      <c r="R113" s="1146">
        <f t="shared" si="249"/>
        <v>-767859.54824436456</v>
      </c>
      <c r="S113" s="1146">
        <f t="shared" si="249"/>
        <v>-1039309.9157492667</v>
      </c>
      <c r="T113" s="1146">
        <f t="shared" si="249"/>
        <v>-1227210.5321560064</v>
      </c>
      <c r="U113" s="1146">
        <f t="shared" si="249"/>
        <v>-1229917.0497442577</v>
      </c>
      <c r="V113" s="1146">
        <f t="shared" si="249"/>
        <v>-1434938.018763056</v>
      </c>
      <c r="W113" s="1146">
        <f t="shared" si="249"/>
        <v>-1721204.3870649133</v>
      </c>
      <c r="X113" s="1146">
        <f t="shared" si="249"/>
        <v>-1727839.7473782664</v>
      </c>
      <c r="Y113" s="1064"/>
      <c r="Z113" s="1064"/>
      <c r="AA113" s="1064"/>
      <c r="AB113" s="1064"/>
      <c r="AC113" s="1064"/>
      <c r="AD113" s="1064"/>
      <c r="AE113" s="1064"/>
      <c r="AF113" s="1064"/>
      <c r="AG113" s="1064"/>
    </row>
    <row r="114" spans="1:33" s="1066" customFormat="1" ht="20.100000000000001" customHeight="1" thickBot="1" x14ac:dyDescent="0.25">
      <c r="A114" s="1064"/>
      <c r="B114" s="1147" t="s">
        <v>140</v>
      </c>
      <c r="C114" s="1095"/>
      <c r="D114" s="1148">
        <f>D105-D97</f>
        <v>-316182.91592320055</v>
      </c>
      <c r="E114" s="1148">
        <f t="shared" ref="E114:X114" si="250">E105-E97</f>
        <v>-349668.75361151341</v>
      </c>
      <c r="F114" s="1148">
        <f t="shared" si="250"/>
        <v>-355645.73977228859</v>
      </c>
      <c r="G114" s="1148">
        <f t="shared" si="250"/>
        <v>-361171.84077712521</v>
      </c>
      <c r="H114" s="1148">
        <f t="shared" si="250"/>
        <v>-375367.84828486992</v>
      </c>
      <c r="I114" s="1148">
        <f t="shared" si="250"/>
        <v>-406330.90846025851</v>
      </c>
      <c r="J114" s="1148">
        <f t="shared" si="250"/>
        <v>-414599.44792108005</v>
      </c>
      <c r="K114" s="1148">
        <f t="shared" si="250"/>
        <v>-444702.90085558826</v>
      </c>
      <c r="L114" s="1148">
        <f t="shared" si="250"/>
        <v>-455835.51812716573</v>
      </c>
      <c r="M114" s="1148">
        <f t="shared" si="250"/>
        <v>-525894.22211486427</v>
      </c>
      <c r="N114" s="1148">
        <f t="shared" si="250"/>
        <v>-591597.75001993682</v>
      </c>
      <c r="O114" s="1148">
        <f t="shared" si="250"/>
        <v>-642128.53827953199</v>
      </c>
      <c r="P114" s="1148">
        <f t="shared" si="250"/>
        <v>-707724.02471342776</v>
      </c>
      <c r="Q114" s="1148">
        <f t="shared" si="250"/>
        <v>-731452.76109342929</v>
      </c>
      <c r="R114" s="1148">
        <f t="shared" si="250"/>
        <v>-852362.70138632506</v>
      </c>
      <c r="S114" s="1148">
        <f t="shared" si="250"/>
        <v>-761071.40659940429</v>
      </c>
      <c r="T114" s="1148">
        <f t="shared" si="250"/>
        <v>-881455.25770960096</v>
      </c>
      <c r="U114" s="1148">
        <f t="shared" si="250"/>
        <v>-1007261.5778098898</v>
      </c>
      <c r="V114" s="1148">
        <f t="shared" si="250"/>
        <v>-1071735.3665996892</v>
      </c>
      <c r="W114" s="1148">
        <f t="shared" si="250"/>
        <v>-1024688.7886044178</v>
      </c>
      <c r="X114" s="1148">
        <f t="shared" si="250"/>
        <v>-1145545.04923495</v>
      </c>
      <c r="Y114" s="1064"/>
      <c r="Z114" s="1064"/>
      <c r="AA114" s="1064"/>
      <c r="AB114" s="1064"/>
      <c r="AC114" s="1064"/>
      <c r="AD114" s="1064"/>
      <c r="AE114" s="1064"/>
      <c r="AF114" s="1064"/>
      <c r="AG114" s="1064"/>
    </row>
    <row r="115" spans="1:33" s="1066" customFormat="1" ht="20.100000000000001" customHeight="1" x14ac:dyDescent="0.25">
      <c r="A115" s="1064"/>
      <c r="B115" s="1065"/>
      <c r="C115" s="1064"/>
      <c r="D115" s="1067">
        <f>SUM(D111:D114)</f>
        <v>2170163.6115188338</v>
      </c>
      <c r="E115" s="1067">
        <f t="shared" ref="E115:X115" si="251">SUM(E111:E114)</f>
        <v>2029342.1680132896</v>
      </c>
      <c r="F115" s="1067">
        <f t="shared" si="251"/>
        <v>1321666.127620148</v>
      </c>
      <c r="G115" s="1067">
        <f t="shared" si="251"/>
        <v>1202822.8332430972</v>
      </c>
      <c r="H115" s="1067">
        <f t="shared" si="251"/>
        <v>599516.9975677426</v>
      </c>
      <c r="I115" s="1067">
        <f t="shared" si="251"/>
        <v>194279.59105776809</v>
      </c>
      <c r="J115" s="1067">
        <f t="shared" si="251"/>
        <v>-267417.65158887999</v>
      </c>
      <c r="K115" s="1067">
        <f t="shared" si="251"/>
        <v>-907278.11641779216</v>
      </c>
      <c r="L115" s="1067">
        <f t="shared" si="251"/>
        <v>-1308324.6064959476</v>
      </c>
      <c r="M115" s="1067">
        <f t="shared" si="251"/>
        <v>-2330602.2673002225</v>
      </c>
      <c r="N115" s="1067">
        <f t="shared" si="251"/>
        <v>-2898156.342277511</v>
      </c>
      <c r="O115" s="1067">
        <f t="shared" si="251"/>
        <v>-3856071.9652206893</v>
      </c>
      <c r="P115" s="1067">
        <f t="shared" si="251"/>
        <v>-3433606.236816545</v>
      </c>
      <c r="Q115" s="1067">
        <f t="shared" si="251"/>
        <v>-4446218.640892487</v>
      </c>
      <c r="R115" s="1067">
        <f t="shared" si="251"/>
        <v>-5091345.3232597206</v>
      </c>
      <c r="S115" s="1067">
        <f t="shared" si="251"/>
        <v>-6489528.0670146178</v>
      </c>
      <c r="T115" s="1067">
        <f t="shared" si="251"/>
        <v>-7633818.3141786493</v>
      </c>
      <c r="U115" s="1067">
        <f t="shared" si="251"/>
        <v>-7762413.1315335901</v>
      </c>
      <c r="V115" s="1067">
        <f t="shared" si="251"/>
        <v>-8938907.2781029269</v>
      </c>
      <c r="W115" s="1067">
        <f t="shared" si="251"/>
        <v>-10444299.057046462</v>
      </c>
      <c r="X115" s="1067">
        <f t="shared" si="251"/>
        <v>-10584532.166618578</v>
      </c>
      <c r="Y115" s="1146"/>
      <c r="Z115" s="1064"/>
      <c r="AA115" s="1064"/>
      <c r="AB115" s="1064"/>
      <c r="AC115" s="1064"/>
      <c r="AD115" s="1064"/>
      <c r="AE115" s="1064"/>
      <c r="AF115" s="1064"/>
      <c r="AG115" s="1064"/>
    </row>
    <row r="116" spans="1:33" s="1066" customFormat="1" ht="20.100000000000001" customHeight="1" x14ac:dyDescent="0.25">
      <c r="A116" s="1064"/>
      <c r="B116" s="1065"/>
      <c r="C116" s="1064"/>
      <c r="D116" s="1067"/>
      <c r="E116" s="1067"/>
      <c r="F116" s="1067"/>
      <c r="G116" s="1067"/>
      <c r="H116" s="1067"/>
      <c r="I116" s="1067"/>
      <c r="J116" s="1067"/>
      <c r="K116" s="1067"/>
      <c r="L116" s="1067"/>
      <c r="M116" s="1067"/>
      <c r="N116" s="1067"/>
      <c r="O116" s="1067"/>
      <c r="P116" s="1067"/>
      <c r="Q116" s="1067"/>
      <c r="R116" s="1067"/>
      <c r="S116" s="1067"/>
      <c r="T116" s="1067"/>
      <c r="U116" s="1067"/>
      <c r="V116" s="1067"/>
      <c r="W116" s="1067"/>
      <c r="X116" s="1067"/>
      <c r="Y116" s="1064"/>
      <c r="Z116" s="1064"/>
      <c r="AA116" s="1064"/>
      <c r="AB116" s="1064"/>
      <c r="AC116" s="1064"/>
      <c r="AD116" s="1064"/>
      <c r="AE116" s="1064"/>
      <c r="AF116" s="1064"/>
      <c r="AG116" s="1064"/>
    </row>
    <row r="117" spans="1:33" s="1066" customFormat="1" ht="20.100000000000001" customHeight="1" x14ac:dyDescent="0.25">
      <c r="A117" s="1064"/>
      <c r="B117" s="1065"/>
      <c r="C117" s="1064"/>
      <c r="D117" s="1067"/>
      <c r="E117" s="1067"/>
      <c r="F117" s="1067"/>
      <c r="G117" s="1067"/>
      <c r="H117" s="1067"/>
      <c r="I117" s="1067"/>
      <c r="J117" s="1067"/>
      <c r="K117" s="1067"/>
      <c r="L117" s="1067"/>
      <c r="M117" s="1067"/>
      <c r="N117" s="1067"/>
      <c r="O117" s="1067"/>
      <c r="P117" s="1067"/>
      <c r="Q117" s="1067"/>
      <c r="R117" s="1067"/>
      <c r="S117" s="1067"/>
      <c r="T117" s="1067"/>
      <c r="U117" s="1067"/>
      <c r="V117" s="1067"/>
      <c r="W117" s="1067"/>
      <c r="X117" s="1067"/>
      <c r="Y117" s="1064"/>
      <c r="Z117" s="1064"/>
      <c r="AA117" s="1064"/>
      <c r="AB117" s="1064"/>
      <c r="AC117" s="1064"/>
      <c r="AD117" s="1064"/>
      <c r="AE117" s="1064"/>
      <c r="AF117" s="1064"/>
      <c r="AG117" s="1064"/>
    </row>
    <row r="118" spans="1:33" s="1066" customFormat="1" ht="20.100000000000001" customHeight="1" x14ac:dyDescent="0.2">
      <c r="A118" s="1064"/>
      <c r="B118" s="1136"/>
      <c r="C118" s="1095"/>
      <c r="D118" s="1140"/>
      <c r="E118" s="1140"/>
      <c r="F118" s="1140"/>
      <c r="G118" s="1140"/>
      <c r="H118" s="1140"/>
      <c r="I118" s="1140"/>
      <c r="J118" s="1140"/>
      <c r="K118" s="1140"/>
      <c r="L118" s="1140"/>
      <c r="M118" s="1140"/>
      <c r="N118" s="1140"/>
      <c r="O118" s="1140"/>
      <c r="P118" s="1140"/>
      <c r="Q118" s="1140"/>
      <c r="R118" s="1140"/>
      <c r="S118" s="1140"/>
      <c r="T118" s="1140"/>
      <c r="U118" s="1140"/>
      <c r="V118" s="1140"/>
      <c r="W118" s="1140"/>
      <c r="X118" s="1140"/>
      <c r="Y118" s="1064"/>
      <c r="Z118" s="1064"/>
      <c r="AA118" s="1064"/>
      <c r="AB118" s="1064"/>
      <c r="AC118" s="1064"/>
      <c r="AD118" s="1064"/>
      <c r="AE118" s="1064"/>
      <c r="AF118" s="1064"/>
      <c r="AG118" s="1064"/>
    </row>
    <row r="119" spans="1:33" s="1066" customFormat="1" ht="20.100000000000001" customHeight="1" thickBot="1" x14ac:dyDescent="0.45">
      <c r="A119" s="1064"/>
      <c r="B119" s="1149" t="s">
        <v>1014</v>
      </c>
      <c r="C119" s="1105"/>
      <c r="D119" s="1105"/>
      <c r="E119" s="1105"/>
      <c r="F119" s="1105"/>
      <c r="G119" s="1105"/>
      <c r="H119" s="1105"/>
      <c r="I119" s="1105"/>
      <c r="J119" s="1105"/>
      <c r="Y119" s="1064"/>
      <c r="Z119" s="1064"/>
      <c r="AA119" s="1064"/>
      <c r="AB119" s="1064"/>
      <c r="AC119" s="1064"/>
      <c r="AD119" s="1064"/>
      <c r="AE119" s="1064"/>
      <c r="AF119" s="1064"/>
      <c r="AG119" s="1064"/>
    </row>
    <row r="120" spans="1:33" s="1064" customFormat="1" ht="22.5" customHeight="1" thickBot="1" x14ac:dyDescent="0.3">
      <c r="B120" s="1150" t="s">
        <v>588</v>
      </c>
      <c r="C120" s="1151"/>
      <c r="D120" s="1152"/>
      <c r="E120" s="1152"/>
      <c r="F120" s="1153">
        <v>2.0249999999999999</v>
      </c>
      <c r="H120" s="1154"/>
      <c r="I120" s="1154"/>
      <c r="J120" s="1154"/>
      <c r="K120" s="1154"/>
      <c r="L120" s="1154"/>
      <c r="M120" s="1154"/>
      <c r="N120" s="1154"/>
      <c r="O120" s="1154"/>
      <c r="P120" s="1154"/>
      <c r="Q120" s="1154"/>
      <c r="R120" s="1154"/>
      <c r="S120" s="1154"/>
      <c r="T120" s="1154"/>
      <c r="U120" s="1154"/>
      <c r="V120" s="1154"/>
      <c r="W120" s="1154"/>
      <c r="X120" s="1154"/>
      <c r="Y120" s="1154"/>
      <c r="Z120" s="1154"/>
      <c r="AA120" s="1154"/>
    </row>
    <row r="121" spans="1:33" s="1066" customFormat="1" ht="20.100000000000001" customHeight="1" thickBot="1" x14ac:dyDescent="0.3">
      <c r="A121" s="1064"/>
      <c r="B121" s="1150" t="s">
        <v>589</v>
      </c>
      <c r="C121" s="1151"/>
      <c r="D121" s="1152"/>
      <c r="E121" s="1152"/>
      <c r="F121" s="1153">
        <v>2.2909999999999999</v>
      </c>
      <c r="H121" s="1155"/>
      <c r="I121" s="1154"/>
      <c r="J121" s="1154"/>
      <c r="K121" s="1154"/>
      <c r="L121" s="1154"/>
      <c r="M121" s="1154"/>
      <c r="N121" s="1154"/>
      <c r="O121" s="1154"/>
      <c r="P121" s="1154"/>
      <c r="Q121" s="1154"/>
      <c r="R121" s="1154"/>
      <c r="S121" s="1154"/>
      <c r="T121" s="1154"/>
      <c r="U121" s="1154"/>
      <c r="V121" s="1154"/>
      <c r="W121" s="1154"/>
      <c r="X121" s="1154"/>
      <c r="Y121" s="1154"/>
      <c r="Z121" s="1154"/>
      <c r="AA121" s="1154"/>
      <c r="AB121" s="1064"/>
      <c r="AC121" s="1064"/>
      <c r="AD121" s="1064"/>
      <c r="AE121" s="1064"/>
      <c r="AF121" s="1064"/>
      <c r="AG121" s="1064"/>
    </row>
    <row r="122" spans="1:33" s="1066" customFormat="1" ht="20.100000000000001" customHeight="1" thickBot="1" x14ac:dyDescent="0.3">
      <c r="A122" s="1064"/>
      <c r="B122" s="1065"/>
      <c r="D122" s="1156"/>
      <c r="G122" s="1157"/>
      <c r="H122" s="1157"/>
      <c r="I122" s="1157"/>
      <c r="J122" s="1157"/>
      <c r="K122" s="1157"/>
      <c r="L122" s="1157"/>
      <c r="M122" s="1157"/>
      <c r="N122" s="1157"/>
      <c r="O122" s="1157"/>
      <c r="P122" s="1157"/>
      <c r="Q122" s="1157"/>
      <c r="R122" s="1157"/>
      <c r="S122" s="1157"/>
      <c r="T122" s="1157"/>
      <c r="U122" s="1157"/>
      <c r="V122" s="1157"/>
      <c r="W122" s="1157"/>
      <c r="X122" s="1157"/>
      <c r="Y122" s="1157"/>
      <c r="Z122" s="1157"/>
      <c r="AA122" s="1157"/>
    </row>
    <row r="123" spans="1:33" s="1066" customFormat="1" ht="20.100000000000001" customHeight="1" thickBot="1" x14ac:dyDescent="0.3">
      <c r="A123" s="1064"/>
      <c r="B123" s="1110"/>
      <c r="C123" s="1094"/>
      <c r="D123" s="719">
        <v>2023</v>
      </c>
      <c r="E123" s="717">
        <f>D123+1</f>
        <v>2024</v>
      </c>
      <c r="F123" s="717">
        <f t="shared" ref="F123" si="252">E123+1</f>
        <v>2025</v>
      </c>
      <c r="G123" s="717">
        <f t="shared" ref="G123" si="253">F123+1</f>
        <v>2026</v>
      </c>
      <c r="H123" s="717">
        <f t="shared" ref="H123" si="254">G123+1</f>
        <v>2027</v>
      </c>
      <c r="I123" s="717">
        <f t="shared" ref="I123" si="255">H123+1</f>
        <v>2028</v>
      </c>
      <c r="J123" s="717">
        <f t="shared" ref="J123" si="256">I123+1</f>
        <v>2029</v>
      </c>
      <c r="K123" s="717">
        <f t="shared" ref="K123" si="257">J123+1</f>
        <v>2030</v>
      </c>
      <c r="L123" s="717">
        <f t="shared" ref="L123" si="258">K123+1</f>
        <v>2031</v>
      </c>
      <c r="M123" s="717">
        <f t="shared" ref="M123" si="259">L123+1</f>
        <v>2032</v>
      </c>
      <c r="N123" s="717">
        <f t="shared" ref="N123" si="260">M123+1</f>
        <v>2033</v>
      </c>
      <c r="O123" s="717">
        <f t="shared" ref="O123" si="261">N123+1</f>
        <v>2034</v>
      </c>
      <c r="P123" s="717">
        <f t="shared" ref="P123" si="262">O123+1</f>
        <v>2035</v>
      </c>
      <c r="Q123" s="717">
        <f t="shared" ref="Q123" si="263">P123+1</f>
        <v>2036</v>
      </c>
      <c r="R123" s="717">
        <f t="shared" ref="R123" si="264">Q123+1</f>
        <v>2037</v>
      </c>
      <c r="S123" s="717">
        <f t="shared" ref="S123" si="265">R123+1</f>
        <v>2038</v>
      </c>
      <c r="T123" s="717">
        <f t="shared" ref="T123" si="266">S123+1</f>
        <v>2039</v>
      </c>
      <c r="U123" s="717">
        <f t="shared" ref="U123" si="267">T123+1</f>
        <v>2040</v>
      </c>
      <c r="V123" s="717">
        <f t="shared" ref="V123" si="268">U123+1</f>
        <v>2041</v>
      </c>
      <c r="W123" s="717">
        <f t="shared" ref="W123" si="269">V123+1</f>
        <v>2042</v>
      </c>
      <c r="X123" s="718">
        <f t="shared" ref="X123" si="270">W123+1</f>
        <v>2043</v>
      </c>
    </row>
    <row r="124" spans="1:33" s="1066" customFormat="1" ht="20.100000000000001" customHeight="1" x14ac:dyDescent="0.2">
      <c r="A124" s="1064"/>
      <c r="B124" s="1158" t="s">
        <v>287</v>
      </c>
      <c r="C124" s="1159" t="s">
        <v>551</v>
      </c>
      <c r="D124" s="1160">
        <f t="shared" ref="D124" si="271">$F$120*D111</f>
        <v>2673343.5188161754</v>
      </c>
      <c r="E124" s="1161">
        <f t="shared" ref="E124:X124" si="272">$F$120*E111</f>
        <v>2563426.7355355229</v>
      </c>
      <c r="F124" s="1161">
        <f t="shared" si="272"/>
        <v>1806959.509921554</v>
      </c>
      <c r="G124" s="1161">
        <f t="shared" si="272"/>
        <v>1688083.757937368</v>
      </c>
      <c r="H124" s="1161">
        <f t="shared" si="272"/>
        <v>1049273.38891721</v>
      </c>
      <c r="I124" s="1161">
        <f t="shared" si="272"/>
        <v>642651.67157424684</v>
      </c>
      <c r="J124" s="1161">
        <f t="shared" si="272"/>
        <v>147510.65196141836</v>
      </c>
      <c r="K124" s="1161">
        <f t="shared" si="272"/>
        <v>-521482.75664993894</v>
      </c>
      <c r="L124" s="1161">
        <f t="shared" si="272"/>
        <v>-951301.64871428115</v>
      </c>
      <c r="M124" s="1161">
        <f t="shared" si="272"/>
        <v>-2003410.0618273541</v>
      </c>
      <c r="N124" s="1161">
        <f t="shared" si="272"/>
        <v>-2562003.1573385275</v>
      </c>
      <c r="O124" s="1161">
        <f t="shared" si="272"/>
        <v>-3572171.1286445353</v>
      </c>
      <c r="P124" s="1161">
        <f t="shared" si="272"/>
        <v>-3036880.4302421566</v>
      </c>
      <c r="Q124" s="1161">
        <f t="shared" si="272"/>
        <v>-4142832.6596845472</v>
      </c>
      <c r="R124" s="1161">
        <f t="shared" si="272"/>
        <v>-4735218.3660292039</v>
      </c>
      <c r="S124" s="1161">
        <f t="shared" si="272"/>
        <v>-6408478.5816114116</v>
      </c>
      <c r="T124" s="1161">
        <f t="shared" si="272"/>
        <v>-7567256.077646954</v>
      </c>
      <c r="U124" s="1161">
        <f t="shared" si="272"/>
        <v>-7584821.6454067975</v>
      </c>
      <c r="V124" s="1161">
        <f t="shared" si="272"/>
        <v>-8849482.5501160342</v>
      </c>
      <c r="W124" s="1161">
        <f t="shared" si="272"/>
        <v>-10615161.483045015</v>
      </c>
      <c r="X124" s="1209">
        <f t="shared" si="272"/>
        <v>-10657265.103488309</v>
      </c>
      <c r="AG124" s="1067"/>
    </row>
    <row r="125" spans="1:33" s="1066" customFormat="1" ht="20.100000000000001" customHeight="1" x14ac:dyDescent="0.2">
      <c r="A125" s="1064"/>
      <c r="B125" s="1164" t="s">
        <v>288</v>
      </c>
      <c r="C125" s="1165" t="s">
        <v>551</v>
      </c>
      <c r="D125" s="1166">
        <f t="shared" ref="D125" si="273">$F$120*D112</f>
        <v>1480861.9413649132</v>
      </c>
      <c r="E125" s="1162">
        <f t="shared" ref="E125:X125" si="274">$F$120*E112</f>
        <v>1409647.2184837742</v>
      </c>
      <c r="F125" s="1162">
        <f t="shared" si="274"/>
        <v>994145.91992792813</v>
      </c>
      <c r="G125" s="1162">
        <f t="shared" si="274"/>
        <v>922687.82185940794</v>
      </c>
      <c r="H125" s="1162">
        <f t="shared" si="274"/>
        <v>578735.50871955417</v>
      </c>
      <c r="I125" s="1162">
        <f t="shared" si="274"/>
        <v>361206.71435870195</v>
      </c>
      <c r="J125" s="1162">
        <f t="shared" si="274"/>
        <v>101000.62382498338</v>
      </c>
      <c r="K125" s="1162">
        <f t="shared" si="274"/>
        <v>-244767.45511225823</v>
      </c>
      <c r="L125" s="1162">
        <f t="shared" si="274"/>
        <v>-463234.71552969282</v>
      </c>
      <c r="M125" s="1162">
        <f t="shared" si="274"/>
        <v>-993476.19888830232</v>
      </c>
      <c r="N125" s="1162">
        <f t="shared" si="274"/>
        <v>-1267588.0995167675</v>
      </c>
      <c r="O125" s="1162">
        <f t="shared" si="274"/>
        <v>-1762892.5075168677</v>
      </c>
      <c r="P125" s="1162">
        <f t="shared" si="274"/>
        <v>-1485997.681527175</v>
      </c>
      <c r="Q125" s="1162">
        <f t="shared" si="274"/>
        <v>-2019152.530007439</v>
      </c>
      <c r="R125" s="1162">
        <f t="shared" si="274"/>
        <v>-2293805.8580695833</v>
      </c>
      <c r="S125" s="1162">
        <f t="shared" si="274"/>
        <v>-3087043.5763371298</v>
      </c>
      <c r="T125" s="1162">
        <f t="shared" si="274"/>
        <v>-3621177.7840869557</v>
      </c>
      <c r="U125" s="1162">
        <f t="shared" si="274"/>
        <v>-3603778.2251515728</v>
      </c>
      <c r="V125" s="1162">
        <f t="shared" si="274"/>
        <v>-4175791.0826828307</v>
      </c>
      <c r="W125" s="1162">
        <f t="shared" si="274"/>
        <v>-4974110.4267436732</v>
      </c>
      <c r="X125" s="1163">
        <f t="shared" si="274"/>
        <v>-4957808.3207725473</v>
      </c>
      <c r="AG125" s="1067"/>
    </row>
    <row r="126" spans="1:33" s="1066" customFormat="1" ht="20.100000000000001" customHeight="1" x14ac:dyDescent="0.2">
      <c r="A126" s="1064"/>
      <c r="B126" s="1158" t="s">
        <v>289</v>
      </c>
      <c r="C126" s="1165" t="s">
        <v>551</v>
      </c>
      <c r="D126" s="1166">
        <f t="shared" ref="D126" si="275">$F$120*D113</f>
        <v>880646.25788903062</v>
      </c>
      <c r="E126" s="1162">
        <f t="shared" ref="E126:X126" si="276">$F$120*E113</f>
        <v>844423.16227092897</v>
      </c>
      <c r="F126" s="1162">
        <f t="shared" si="276"/>
        <v>595451.10162020172</v>
      </c>
      <c r="G126" s="1162">
        <f t="shared" si="276"/>
        <v>556317.6350941743</v>
      </c>
      <c r="H126" s="1162">
        <f t="shared" si="276"/>
        <v>346132.91521477606</v>
      </c>
      <c r="I126" s="1162">
        <f t="shared" si="276"/>
        <v>212377.875591055</v>
      </c>
      <c r="J126" s="1162">
        <f t="shared" si="276"/>
        <v>49531.861786303343</v>
      </c>
      <c r="K126" s="1162">
        <f t="shared" si="276"/>
        <v>-170464.59975126566</v>
      </c>
      <c r="L126" s="1162">
        <f t="shared" si="276"/>
        <v>-311754.03970280918</v>
      </c>
      <c r="M126" s="1162">
        <f t="shared" si="276"/>
        <v>-657647.53078469378</v>
      </c>
      <c r="N126" s="1162">
        <f t="shared" si="276"/>
        <v>-841189.8924662926</v>
      </c>
      <c r="O126" s="1162">
        <f t="shared" si="276"/>
        <v>-1173171.8033944403</v>
      </c>
      <c r="P126" s="1162">
        <f t="shared" si="276"/>
        <v>-997033.36773948045</v>
      </c>
      <c r="Q126" s="1162">
        <f t="shared" si="276"/>
        <v>-1360415.7169011054</v>
      </c>
      <c r="R126" s="1162">
        <f t="shared" si="276"/>
        <v>-1554915.5851948382</v>
      </c>
      <c r="S126" s="1162">
        <f t="shared" si="276"/>
        <v>-2104602.5793922651</v>
      </c>
      <c r="T126" s="1162">
        <f t="shared" si="276"/>
        <v>-2485101.327615913</v>
      </c>
      <c r="U126" s="1162">
        <f t="shared" si="276"/>
        <v>-2490582.0257321219</v>
      </c>
      <c r="V126" s="1162">
        <f t="shared" si="276"/>
        <v>-2905749.4879951882</v>
      </c>
      <c r="W126" s="1162">
        <f t="shared" si="276"/>
        <v>-3485438.8838064494</v>
      </c>
      <c r="X126" s="1163">
        <f t="shared" si="276"/>
        <v>-3498875.4884409895</v>
      </c>
      <c r="AG126" s="1067"/>
    </row>
    <row r="127" spans="1:33" s="1066" customFormat="1" ht="20.100000000000001" customHeight="1" x14ac:dyDescent="0.2">
      <c r="A127" s="1064"/>
      <c r="B127" s="1158" t="s">
        <v>140</v>
      </c>
      <c r="C127" s="1165" t="s">
        <v>551</v>
      </c>
      <c r="D127" s="1166">
        <f t="shared" ref="D127" si="277">$F$121*D114</f>
        <v>-724375.06038005243</v>
      </c>
      <c r="E127" s="1162">
        <f t="shared" ref="E127:X127" si="278">$F$121*E114</f>
        <v>-801091.11452397716</v>
      </c>
      <c r="F127" s="1162">
        <f t="shared" si="278"/>
        <v>-814784.38981831318</v>
      </c>
      <c r="G127" s="1162">
        <f t="shared" si="278"/>
        <v>-827444.6872203938</v>
      </c>
      <c r="H127" s="1162">
        <f t="shared" si="278"/>
        <v>-859967.74042063695</v>
      </c>
      <c r="I127" s="1162">
        <f t="shared" si="278"/>
        <v>-930904.11128245224</v>
      </c>
      <c r="J127" s="1162">
        <f t="shared" si="278"/>
        <v>-949847.3351871944</v>
      </c>
      <c r="K127" s="1162">
        <f t="shared" si="278"/>
        <v>-1018814.3458601526</v>
      </c>
      <c r="L127" s="1162">
        <f t="shared" si="278"/>
        <v>-1044319.1720293367</v>
      </c>
      <c r="M127" s="1162">
        <f t="shared" si="278"/>
        <v>-1204823.662865154</v>
      </c>
      <c r="N127" s="1162">
        <f t="shared" si="278"/>
        <v>-1355350.4452956752</v>
      </c>
      <c r="O127" s="1162">
        <f t="shared" si="278"/>
        <v>-1471116.4811984077</v>
      </c>
      <c r="P127" s="1162">
        <f t="shared" si="278"/>
        <v>-1621395.7406184629</v>
      </c>
      <c r="Q127" s="1162">
        <f t="shared" si="278"/>
        <v>-1675758.2756650464</v>
      </c>
      <c r="R127" s="1162">
        <f t="shared" si="278"/>
        <v>-1952762.9488760706</v>
      </c>
      <c r="S127" s="1162">
        <f t="shared" si="278"/>
        <v>-1743614.5925192351</v>
      </c>
      <c r="T127" s="1162">
        <f t="shared" si="278"/>
        <v>-2019413.9954126957</v>
      </c>
      <c r="U127" s="1162">
        <f t="shared" si="278"/>
        <v>-2307636.2747624572</v>
      </c>
      <c r="V127" s="1162">
        <f t="shared" si="278"/>
        <v>-2455345.7248798879</v>
      </c>
      <c r="W127" s="1162">
        <f t="shared" si="278"/>
        <v>-2347562.014692721</v>
      </c>
      <c r="X127" s="1163">
        <f t="shared" si="278"/>
        <v>-2624443.7077972703</v>
      </c>
      <c r="AG127" s="1067"/>
    </row>
    <row r="128" spans="1:33" s="1066" customFormat="1" ht="20.100000000000001" customHeight="1" thickBot="1" x14ac:dyDescent="0.25">
      <c r="A128" s="1064"/>
      <c r="B128" s="1158" t="s">
        <v>5</v>
      </c>
      <c r="C128" s="1167" t="s">
        <v>551</v>
      </c>
      <c r="D128" s="1168">
        <f t="shared" ref="D128" si="279">SUM(D124:D127)</f>
        <v>4310476.6576900668</v>
      </c>
      <c r="E128" s="1169">
        <f t="shared" ref="E128:X128" si="280">SUM(E124:E127)</f>
        <v>4016406.0017662486</v>
      </c>
      <c r="F128" s="1169">
        <f t="shared" si="280"/>
        <v>2581772.141651371</v>
      </c>
      <c r="G128" s="1169">
        <f t="shared" si="280"/>
        <v>2339644.5276705567</v>
      </c>
      <c r="H128" s="1169">
        <f t="shared" si="280"/>
        <v>1114174.0724309033</v>
      </c>
      <c r="I128" s="1169">
        <f t="shared" si="280"/>
        <v>285332.15024155146</v>
      </c>
      <c r="J128" s="1169">
        <f t="shared" si="280"/>
        <v>-651804.19761448936</v>
      </c>
      <c r="K128" s="1169">
        <f t="shared" si="280"/>
        <v>-1955529.1573736155</v>
      </c>
      <c r="L128" s="1169">
        <f t="shared" si="280"/>
        <v>-2770609.5759761198</v>
      </c>
      <c r="M128" s="1169">
        <f t="shared" si="280"/>
        <v>-4859357.4543655049</v>
      </c>
      <c r="N128" s="1169">
        <f t="shared" si="280"/>
        <v>-6026131.5946172625</v>
      </c>
      <c r="O128" s="1169">
        <f t="shared" si="280"/>
        <v>-7979351.9207542511</v>
      </c>
      <c r="P128" s="1169">
        <f t="shared" si="280"/>
        <v>-7141307.2201272743</v>
      </c>
      <c r="Q128" s="1169">
        <f t="shared" si="280"/>
        <v>-9198159.1822581384</v>
      </c>
      <c r="R128" s="1169">
        <f t="shared" si="280"/>
        <v>-10536702.758169694</v>
      </c>
      <c r="S128" s="1169">
        <f t="shared" si="280"/>
        <v>-13343739.329860043</v>
      </c>
      <c r="T128" s="1169">
        <f t="shared" si="280"/>
        <v>-15692949.184762519</v>
      </c>
      <c r="U128" s="1169">
        <f t="shared" si="280"/>
        <v>-15986818.17105295</v>
      </c>
      <c r="V128" s="1169">
        <f t="shared" si="280"/>
        <v>-18386368.845673941</v>
      </c>
      <c r="W128" s="1169">
        <f t="shared" si="280"/>
        <v>-21422272.808287859</v>
      </c>
      <c r="X128" s="1170">
        <f t="shared" si="280"/>
        <v>-21738392.620499115</v>
      </c>
      <c r="Y128" s="1162"/>
      <c r="AG128" s="1067"/>
    </row>
    <row r="129" spans="1:36" s="1066" customFormat="1" ht="20.100000000000001" customHeight="1" thickBot="1" x14ac:dyDescent="0.25">
      <c r="A129" s="1064"/>
      <c r="B129" s="1136"/>
      <c r="C129" s="1095"/>
      <c r="D129" s="1146"/>
      <c r="E129" s="1146"/>
      <c r="F129" s="1146"/>
      <c r="G129" s="1146"/>
      <c r="H129" s="1146"/>
      <c r="I129" s="1146"/>
      <c r="J129" s="1146"/>
      <c r="K129" s="1146"/>
      <c r="L129" s="1146"/>
      <c r="M129" s="1146"/>
      <c r="N129" s="1146"/>
      <c r="O129" s="1146"/>
      <c r="P129" s="1146"/>
      <c r="Q129" s="1146"/>
      <c r="R129" s="1146"/>
      <c r="S129" s="1146"/>
      <c r="T129" s="1146"/>
      <c r="U129" s="1146"/>
      <c r="V129" s="1146"/>
      <c r="W129" s="1146"/>
      <c r="X129" s="1146"/>
      <c r="AG129" s="1067"/>
    </row>
    <row r="130" spans="1:36" s="1066" customFormat="1" ht="20.100000000000001" customHeight="1" thickBot="1" x14ac:dyDescent="0.3">
      <c r="A130" s="1064"/>
      <c r="B130" s="1110"/>
      <c r="C130" s="1094"/>
      <c r="D130" s="719">
        <v>2023</v>
      </c>
      <c r="E130" s="717">
        <f>D130+1</f>
        <v>2024</v>
      </c>
      <c r="F130" s="717">
        <f t="shared" ref="F130" si="281">E130+1</f>
        <v>2025</v>
      </c>
      <c r="G130" s="717">
        <f t="shared" ref="G130" si="282">F130+1</f>
        <v>2026</v>
      </c>
      <c r="H130" s="717">
        <f t="shared" ref="H130" si="283">G130+1</f>
        <v>2027</v>
      </c>
      <c r="I130" s="717">
        <f t="shared" ref="I130" si="284">H130+1</f>
        <v>2028</v>
      </c>
      <c r="J130" s="717">
        <f t="shared" ref="J130" si="285">I130+1</f>
        <v>2029</v>
      </c>
      <c r="K130" s="717">
        <f t="shared" ref="K130" si="286">J130+1</f>
        <v>2030</v>
      </c>
      <c r="L130" s="717">
        <f t="shared" ref="L130" si="287">K130+1</f>
        <v>2031</v>
      </c>
      <c r="M130" s="717">
        <f t="shared" ref="M130" si="288">L130+1</f>
        <v>2032</v>
      </c>
      <c r="N130" s="717">
        <f t="shared" ref="N130" si="289">M130+1</f>
        <v>2033</v>
      </c>
      <c r="O130" s="717">
        <f t="shared" ref="O130" si="290">N130+1</f>
        <v>2034</v>
      </c>
      <c r="P130" s="717">
        <f t="shared" ref="P130" si="291">O130+1</f>
        <v>2035</v>
      </c>
      <c r="Q130" s="717">
        <f t="shared" ref="Q130" si="292">P130+1</f>
        <v>2036</v>
      </c>
      <c r="R130" s="717">
        <f t="shared" ref="R130" si="293">Q130+1</f>
        <v>2037</v>
      </c>
      <c r="S130" s="717">
        <f t="shared" ref="S130" si="294">R130+1</f>
        <v>2038</v>
      </c>
      <c r="T130" s="717">
        <f t="shared" ref="T130" si="295">S130+1</f>
        <v>2039</v>
      </c>
      <c r="U130" s="717">
        <f t="shared" ref="U130" si="296">T130+1</f>
        <v>2040</v>
      </c>
      <c r="V130" s="717">
        <f t="shared" ref="V130" si="297">U130+1</f>
        <v>2041</v>
      </c>
      <c r="W130" s="717">
        <f t="shared" ref="W130" si="298">V130+1</f>
        <v>2042</v>
      </c>
      <c r="X130" s="718">
        <f t="shared" ref="X130" si="299">W130+1</f>
        <v>2043</v>
      </c>
      <c r="Y130" s="1064"/>
      <c r="Z130" s="1064"/>
      <c r="AA130" s="1064"/>
      <c r="AB130" s="1064"/>
      <c r="AC130" s="1064"/>
      <c r="AD130" s="1064"/>
      <c r="AE130" s="1064"/>
      <c r="AF130" s="1064"/>
      <c r="AG130" s="1064"/>
      <c r="AH130" s="1064"/>
      <c r="AI130" s="1064"/>
      <c r="AJ130" s="1064"/>
    </row>
    <row r="131" spans="1:36" s="1066" customFormat="1" ht="20.100000000000001" customHeight="1" x14ac:dyDescent="0.2">
      <c r="A131" s="1064"/>
      <c r="B131" s="1158" t="s">
        <v>385</v>
      </c>
      <c r="C131" s="1171" t="s">
        <v>551</v>
      </c>
      <c r="D131" s="1160">
        <f>SUM(D124:D126)</f>
        <v>5034851.7180701196</v>
      </c>
      <c r="E131" s="1161">
        <f t="shared" ref="E131:X131" si="300">SUM(E124:E126)</f>
        <v>4817497.1162902256</v>
      </c>
      <c r="F131" s="1161">
        <f t="shared" si="300"/>
        <v>3396556.5314696841</v>
      </c>
      <c r="G131" s="1161">
        <f t="shared" si="300"/>
        <v>3167089.2148909504</v>
      </c>
      <c r="H131" s="1161">
        <f t="shared" si="300"/>
        <v>1974141.8128515403</v>
      </c>
      <c r="I131" s="1161">
        <f t="shared" si="300"/>
        <v>1216236.2615240037</v>
      </c>
      <c r="J131" s="1161">
        <f t="shared" si="300"/>
        <v>298043.13757270511</v>
      </c>
      <c r="K131" s="1161">
        <f t="shared" si="300"/>
        <v>-936714.8115134628</v>
      </c>
      <c r="L131" s="1161">
        <f t="shared" si="300"/>
        <v>-1726290.4039467832</v>
      </c>
      <c r="M131" s="1161">
        <f t="shared" si="300"/>
        <v>-3654533.7915003505</v>
      </c>
      <c r="N131" s="1161">
        <f t="shared" si="300"/>
        <v>-4670781.1493215878</v>
      </c>
      <c r="O131" s="1161">
        <f t="shared" si="300"/>
        <v>-6508235.4395558434</v>
      </c>
      <c r="P131" s="1161">
        <f t="shared" si="300"/>
        <v>-5519911.4795088116</v>
      </c>
      <c r="Q131" s="1161">
        <f t="shared" si="300"/>
        <v>-7522400.9065930918</v>
      </c>
      <c r="R131" s="1161">
        <f t="shared" si="300"/>
        <v>-8583939.809293624</v>
      </c>
      <c r="S131" s="1161">
        <f t="shared" si="300"/>
        <v>-11600124.737340808</v>
      </c>
      <c r="T131" s="1161">
        <f t="shared" si="300"/>
        <v>-13673535.189349823</v>
      </c>
      <c r="U131" s="1161">
        <f t="shared" si="300"/>
        <v>-13679181.896290492</v>
      </c>
      <c r="V131" s="1161">
        <f t="shared" si="300"/>
        <v>-15931023.120794054</v>
      </c>
      <c r="W131" s="1161">
        <f t="shared" si="300"/>
        <v>-19074710.793595139</v>
      </c>
      <c r="X131" s="1209">
        <f t="shared" si="300"/>
        <v>-19113948.912701845</v>
      </c>
      <c r="Y131" s="1162"/>
      <c r="Z131" s="1064"/>
      <c r="AA131" s="1064"/>
      <c r="AB131" s="1064"/>
      <c r="AC131" s="1064"/>
      <c r="AD131" s="1064"/>
      <c r="AE131" s="1064"/>
      <c r="AF131" s="1064"/>
      <c r="AG131" s="1146"/>
      <c r="AH131" s="1064"/>
      <c r="AI131" s="1064"/>
      <c r="AJ131" s="1064"/>
    </row>
    <row r="132" spans="1:36" s="1066" customFormat="1" ht="20.100000000000001" customHeight="1" x14ac:dyDescent="0.2">
      <c r="A132" s="1064"/>
      <c r="B132" s="1158" t="s">
        <v>140</v>
      </c>
      <c r="C132" s="1172" t="s">
        <v>551</v>
      </c>
      <c r="D132" s="1166">
        <f>D127</f>
        <v>-724375.06038005243</v>
      </c>
      <c r="E132" s="1162">
        <f t="shared" ref="E132:X132" si="301">E127</f>
        <v>-801091.11452397716</v>
      </c>
      <c r="F132" s="1162">
        <f t="shared" si="301"/>
        <v>-814784.38981831318</v>
      </c>
      <c r="G132" s="1162">
        <f t="shared" si="301"/>
        <v>-827444.6872203938</v>
      </c>
      <c r="H132" s="1162">
        <f t="shared" si="301"/>
        <v>-859967.74042063695</v>
      </c>
      <c r="I132" s="1162">
        <f t="shared" si="301"/>
        <v>-930904.11128245224</v>
      </c>
      <c r="J132" s="1162">
        <f t="shared" si="301"/>
        <v>-949847.3351871944</v>
      </c>
      <c r="K132" s="1162">
        <f t="shared" si="301"/>
        <v>-1018814.3458601526</v>
      </c>
      <c r="L132" s="1162">
        <f t="shared" si="301"/>
        <v>-1044319.1720293367</v>
      </c>
      <c r="M132" s="1162">
        <f t="shared" si="301"/>
        <v>-1204823.662865154</v>
      </c>
      <c r="N132" s="1162">
        <f t="shared" si="301"/>
        <v>-1355350.4452956752</v>
      </c>
      <c r="O132" s="1162">
        <f t="shared" si="301"/>
        <v>-1471116.4811984077</v>
      </c>
      <c r="P132" s="1162">
        <f t="shared" si="301"/>
        <v>-1621395.7406184629</v>
      </c>
      <c r="Q132" s="1162">
        <f t="shared" si="301"/>
        <v>-1675758.2756650464</v>
      </c>
      <c r="R132" s="1162">
        <f t="shared" si="301"/>
        <v>-1952762.9488760706</v>
      </c>
      <c r="S132" s="1162">
        <f t="shared" si="301"/>
        <v>-1743614.5925192351</v>
      </c>
      <c r="T132" s="1162">
        <f t="shared" si="301"/>
        <v>-2019413.9954126957</v>
      </c>
      <c r="U132" s="1162">
        <f t="shared" si="301"/>
        <v>-2307636.2747624572</v>
      </c>
      <c r="V132" s="1162">
        <f t="shared" si="301"/>
        <v>-2455345.7248798879</v>
      </c>
      <c r="W132" s="1162">
        <f t="shared" si="301"/>
        <v>-2347562.014692721</v>
      </c>
      <c r="X132" s="1163">
        <f t="shared" si="301"/>
        <v>-2624443.7077972703</v>
      </c>
      <c r="Y132" s="1162"/>
      <c r="Z132" s="1064"/>
      <c r="AA132" s="1064"/>
      <c r="AB132" s="1064"/>
      <c r="AC132" s="1064"/>
      <c r="AD132" s="1064"/>
      <c r="AE132" s="1064"/>
      <c r="AF132" s="1064"/>
      <c r="AG132" s="1146"/>
      <c r="AH132" s="1064"/>
      <c r="AI132" s="1064"/>
      <c r="AJ132" s="1064"/>
    </row>
    <row r="133" spans="1:36" s="1066" customFormat="1" ht="20.100000000000001" customHeight="1" thickBot="1" x14ac:dyDescent="0.25">
      <c r="A133" s="1064"/>
      <c r="B133" s="1158" t="s">
        <v>5</v>
      </c>
      <c r="C133" s="1173" t="s">
        <v>551</v>
      </c>
      <c r="D133" s="1168">
        <f>SUM(D131:D132)</f>
        <v>4310476.6576900668</v>
      </c>
      <c r="E133" s="1169">
        <f t="shared" ref="E133:X133" si="302">SUM(E131:E132)</f>
        <v>4016406.0017662486</v>
      </c>
      <c r="F133" s="1169">
        <f t="shared" si="302"/>
        <v>2581772.141651371</v>
      </c>
      <c r="G133" s="1169">
        <f t="shared" si="302"/>
        <v>2339644.5276705567</v>
      </c>
      <c r="H133" s="1169">
        <f t="shared" si="302"/>
        <v>1114174.0724309033</v>
      </c>
      <c r="I133" s="1169">
        <f t="shared" si="302"/>
        <v>285332.15024155146</v>
      </c>
      <c r="J133" s="1169">
        <f t="shared" si="302"/>
        <v>-651804.19761448936</v>
      </c>
      <c r="K133" s="1169">
        <f t="shared" si="302"/>
        <v>-1955529.1573736155</v>
      </c>
      <c r="L133" s="1169">
        <f t="shared" si="302"/>
        <v>-2770609.5759761198</v>
      </c>
      <c r="M133" s="1169">
        <f t="shared" si="302"/>
        <v>-4859357.4543655049</v>
      </c>
      <c r="N133" s="1169">
        <f t="shared" si="302"/>
        <v>-6026131.5946172625</v>
      </c>
      <c r="O133" s="1169">
        <f t="shared" si="302"/>
        <v>-7979351.9207542511</v>
      </c>
      <c r="P133" s="1169">
        <f t="shared" si="302"/>
        <v>-7141307.2201272743</v>
      </c>
      <c r="Q133" s="1169">
        <f t="shared" si="302"/>
        <v>-9198159.1822581384</v>
      </c>
      <c r="R133" s="1169">
        <f t="shared" si="302"/>
        <v>-10536702.758169694</v>
      </c>
      <c r="S133" s="1169">
        <f t="shared" si="302"/>
        <v>-13343739.329860043</v>
      </c>
      <c r="T133" s="1169">
        <f t="shared" si="302"/>
        <v>-15692949.184762519</v>
      </c>
      <c r="U133" s="1169">
        <f t="shared" si="302"/>
        <v>-15986818.17105295</v>
      </c>
      <c r="V133" s="1169">
        <f t="shared" si="302"/>
        <v>-18386368.845673941</v>
      </c>
      <c r="W133" s="1169">
        <f t="shared" si="302"/>
        <v>-21422272.808287859</v>
      </c>
      <c r="X133" s="1170">
        <f t="shared" si="302"/>
        <v>-21738392.620499115</v>
      </c>
      <c r="Y133" s="1162"/>
      <c r="Z133" s="1064"/>
      <c r="AA133" s="1064"/>
      <c r="AB133" s="1064"/>
      <c r="AC133" s="1064"/>
      <c r="AD133" s="1064"/>
      <c r="AE133" s="1064"/>
      <c r="AF133" s="1064"/>
      <c r="AG133" s="1146"/>
      <c r="AH133" s="1064"/>
      <c r="AI133" s="1064"/>
      <c r="AJ133" s="1064"/>
    </row>
    <row r="134" spans="1:36" s="1064" customFormat="1" ht="20.100000000000001" customHeight="1" x14ac:dyDescent="0.2">
      <c r="B134" s="1174" t="s">
        <v>313</v>
      </c>
      <c r="C134" s="1095"/>
      <c r="D134" s="1146"/>
      <c r="E134" s="1146"/>
      <c r="F134" s="1146"/>
      <c r="G134" s="1146"/>
      <c r="H134" s="1146"/>
      <c r="I134" s="1146"/>
      <c r="J134" s="1146"/>
      <c r="K134" s="1146"/>
      <c r="L134" s="1146"/>
      <c r="M134" s="1146"/>
      <c r="N134" s="1146"/>
      <c r="O134" s="1146"/>
      <c r="P134" s="1146"/>
      <c r="Q134" s="1146"/>
      <c r="R134" s="1146"/>
      <c r="S134" s="1146"/>
      <c r="T134" s="1146"/>
      <c r="U134" s="1146"/>
      <c r="V134" s="1146"/>
      <c r="W134" s="1146"/>
      <c r="X134" s="1146"/>
      <c r="AG134" s="1146"/>
    </row>
    <row r="135" spans="1:36" s="1064" customFormat="1" ht="20.100000000000001" customHeight="1" x14ac:dyDescent="0.2">
      <c r="B135" s="1136"/>
      <c r="C135" s="1095" t="s">
        <v>494</v>
      </c>
      <c r="D135" s="1146">
        <f>D128-D133</f>
        <v>0</v>
      </c>
      <c r="E135" s="1146">
        <f t="shared" ref="E135:X135" si="303">E128-E133</f>
        <v>0</v>
      </c>
      <c r="F135" s="1146">
        <f t="shared" si="303"/>
        <v>0</v>
      </c>
      <c r="G135" s="1146">
        <f t="shared" si="303"/>
        <v>0</v>
      </c>
      <c r="H135" s="1146">
        <f t="shared" si="303"/>
        <v>0</v>
      </c>
      <c r="I135" s="1146">
        <f t="shared" si="303"/>
        <v>0</v>
      </c>
      <c r="J135" s="1146">
        <f t="shared" si="303"/>
        <v>0</v>
      </c>
      <c r="K135" s="1146">
        <f t="shared" si="303"/>
        <v>0</v>
      </c>
      <c r="L135" s="1146">
        <f t="shared" si="303"/>
        <v>0</v>
      </c>
      <c r="M135" s="1146">
        <f t="shared" si="303"/>
        <v>0</v>
      </c>
      <c r="N135" s="1146">
        <f t="shared" si="303"/>
        <v>0</v>
      </c>
      <c r="O135" s="1146">
        <f t="shared" si="303"/>
        <v>0</v>
      </c>
      <c r="P135" s="1146">
        <f t="shared" si="303"/>
        <v>0</v>
      </c>
      <c r="Q135" s="1146">
        <f t="shared" si="303"/>
        <v>0</v>
      </c>
      <c r="R135" s="1146">
        <f t="shared" si="303"/>
        <v>0</v>
      </c>
      <c r="S135" s="1146">
        <f t="shared" si="303"/>
        <v>0</v>
      </c>
      <c r="T135" s="1146">
        <f t="shared" si="303"/>
        <v>0</v>
      </c>
      <c r="U135" s="1146">
        <f t="shared" si="303"/>
        <v>0</v>
      </c>
      <c r="V135" s="1146">
        <f t="shared" si="303"/>
        <v>0</v>
      </c>
      <c r="W135" s="1146">
        <f t="shared" si="303"/>
        <v>0</v>
      </c>
      <c r="X135" s="1146">
        <f t="shared" si="303"/>
        <v>0</v>
      </c>
      <c r="AG135" s="1146"/>
    </row>
    <row r="136" spans="1:36" s="1066" customFormat="1" ht="20.100000000000001" customHeight="1" x14ac:dyDescent="0.2">
      <c r="A136" s="1064"/>
      <c r="B136" s="1136"/>
      <c r="C136" s="1095"/>
      <c r="D136" s="1146"/>
      <c r="E136" s="1146"/>
      <c r="F136" s="1146"/>
      <c r="G136" s="1146"/>
      <c r="H136" s="1146"/>
      <c r="I136" s="1146"/>
      <c r="J136" s="1146"/>
      <c r="K136" s="1146"/>
      <c r="L136" s="1146"/>
      <c r="M136" s="1146"/>
      <c r="N136" s="1146"/>
      <c r="O136" s="1146"/>
      <c r="P136" s="1146"/>
      <c r="Q136" s="1146"/>
      <c r="R136" s="1146"/>
      <c r="S136" s="1146"/>
      <c r="T136" s="1146"/>
      <c r="U136" s="1146"/>
      <c r="V136" s="1146"/>
      <c r="W136" s="1146"/>
      <c r="X136" s="1146"/>
      <c r="AG136" s="1067"/>
    </row>
    <row r="137" spans="1:36" s="1066" customFormat="1" ht="20.25" x14ac:dyDescent="0.25">
      <c r="A137" s="1064"/>
      <c r="B137" s="1065"/>
      <c r="D137" s="1064"/>
      <c r="E137" s="1790" t="s">
        <v>761</v>
      </c>
      <c r="F137" s="1790"/>
      <c r="G137" s="1790"/>
      <c r="H137" s="1790"/>
      <c r="I137" s="1790"/>
      <c r="K137" s="1064"/>
      <c r="Q137" s="1551" t="s">
        <v>606</v>
      </c>
      <c r="R137" s="1551"/>
      <c r="S137" s="1551"/>
      <c r="T137" s="1551"/>
      <c r="U137" s="1551"/>
      <c r="AA137" s="1064"/>
      <c r="AB137" s="1064"/>
      <c r="AC137" s="1064"/>
      <c r="AD137" s="1064"/>
      <c r="AE137" s="1064"/>
    </row>
    <row r="138" spans="1:36" s="1066" customFormat="1" ht="21" thickBot="1" x14ac:dyDescent="0.3">
      <c r="A138" s="1064"/>
      <c r="B138" s="1065"/>
      <c r="D138" s="1064"/>
      <c r="E138" s="1551" t="s">
        <v>858</v>
      </c>
      <c r="K138" s="1064"/>
      <c r="L138" s="1551" t="s">
        <v>857</v>
      </c>
      <c r="Q138" s="1551" t="s">
        <v>858</v>
      </c>
      <c r="R138" s="1551"/>
      <c r="S138" s="1551"/>
      <c r="T138" s="1551"/>
      <c r="U138" s="1551" t="s">
        <v>857</v>
      </c>
      <c r="AA138" s="1064"/>
      <c r="AB138" s="1064"/>
      <c r="AC138" s="1064"/>
      <c r="AD138" s="1064"/>
      <c r="AE138" s="1064"/>
    </row>
    <row r="139" spans="1:36" s="1066" customFormat="1" ht="21" customHeight="1" thickBot="1" x14ac:dyDescent="0.3">
      <c r="A139" s="1064"/>
      <c r="B139" s="1065"/>
      <c r="D139" s="1064"/>
      <c r="E139" s="1523" t="s">
        <v>182</v>
      </c>
      <c r="F139" s="1524" t="s">
        <v>180</v>
      </c>
      <c r="G139" s="1524" t="s">
        <v>178</v>
      </c>
      <c r="H139" s="1524" t="s">
        <v>268</v>
      </c>
      <c r="I139" s="1524" t="s">
        <v>269</v>
      </c>
      <c r="J139" s="1524" t="s">
        <v>178</v>
      </c>
      <c r="K139" s="1524" t="s">
        <v>268</v>
      </c>
      <c r="L139" s="1524" t="s">
        <v>269</v>
      </c>
      <c r="M139" s="1524" t="s">
        <v>271</v>
      </c>
      <c r="N139" s="1525" t="s">
        <v>272</v>
      </c>
      <c r="AA139" s="1064"/>
      <c r="AB139" s="1064"/>
      <c r="AC139" s="1064"/>
      <c r="AD139" s="1064"/>
      <c r="AE139" s="1064"/>
    </row>
    <row r="140" spans="1:36" s="1066" customFormat="1" x14ac:dyDescent="0.3">
      <c r="A140" s="1064"/>
      <c r="B140" s="1065"/>
      <c r="D140" s="1064"/>
      <c r="E140" s="1526"/>
      <c r="F140" s="1182"/>
      <c r="G140" s="1823" t="s">
        <v>967</v>
      </c>
      <c r="H140" s="1823"/>
      <c r="I140" s="1823" t="s">
        <v>616</v>
      </c>
      <c r="J140" s="1823"/>
      <c r="K140" s="1823"/>
      <c r="L140" s="1823" t="s">
        <v>616</v>
      </c>
      <c r="M140" s="1823"/>
      <c r="N140" s="1833"/>
      <c r="Q140" s="1845" t="s">
        <v>385</v>
      </c>
      <c r="R140" s="1846"/>
      <c r="S140" s="1847"/>
      <c r="T140" s="1848" t="s">
        <v>140</v>
      </c>
      <c r="U140" s="1845" t="s">
        <v>385</v>
      </c>
      <c r="V140" s="1846"/>
      <c r="W140" s="1847"/>
      <c r="X140" s="1848" t="s">
        <v>140</v>
      </c>
      <c r="AA140" s="1064"/>
      <c r="AB140" s="1064"/>
      <c r="AC140" s="1064"/>
      <c r="AD140" s="1064"/>
      <c r="AE140" s="1064"/>
    </row>
    <row r="141" spans="1:36" s="1066" customFormat="1" ht="26.4" x14ac:dyDescent="0.3">
      <c r="A141" s="1064"/>
      <c r="B141" s="1065"/>
      <c r="D141" s="1064"/>
      <c r="E141" s="1527" t="s">
        <v>7</v>
      </c>
      <c r="F141" s="1184" t="s">
        <v>275</v>
      </c>
      <c r="G141" s="1617" t="s">
        <v>385</v>
      </c>
      <c r="H141" s="1617" t="s">
        <v>347</v>
      </c>
      <c r="I141" s="1617" t="s">
        <v>468</v>
      </c>
      <c r="J141" s="1617" t="s">
        <v>347</v>
      </c>
      <c r="K141" s="1617" t="s">
        <v>5</v>
      </c>
      <c r="L141" s="1617" t="s">
        <v>468</v>
      </c>
      <c r="M141" s="1617" t="s">
        <v>347</v>
      </c>
      <c r="N141" s="1618" t="s">
        <v>5</v>
      </c>
      <c r="Q141" s="1476" t="s">
        <v>897</v>
      </c>
      <c r="R141" s="1425" t="s">
        <v>898</v>
      </c>
      <c r="S141" s="1425" t="s">
        <v>899</v>
      </c>
      <c r="T141" s="1849"/>
      <c r="U141" s="1476" t="s">
        <v>897</v>
      </c>
      <c r="V141" s="1425" t="s">
        <v>898</v>
      </c>
      <c r="W141" s="1425" t="s">
        <v>899</v>
      </c>
      <c r="X141" s="1849"/>
      <c r="AA141" s="1064"/>
      <c r="AB141" s="1064"/>
      <c r="AC141" s="1064"/>
      <c r="AD141" s="1064"/>
      <c r="AE141" s="1064"/>
    </row>
    <row r="142" spans="1:36" s="1066" customFormat="1" ht="20.25" x14ac:dyDescent="0.25">
      <c r="A142" s="1064"/>
      <c r="B142" s="1065"/>
      <c r="D142" s="1064"/>
      <c r="E142" s="1489">
        <v>4</v>
      </c>
      <c r="F142" s="988">
        <v>2023</v>
      </c>
      <c r="G142" s="1625">
        <f t="array" ref="G142:G162">TRANSPOSE(D111:X111)+TRANSPOSE(D112:X112)+TRANSPOSE(D113:X113)</f>
        <v>2486346.5274420343</v>
      </c>
      <c r="H142" s="1625">
        <f t="array" ref="H142:H162">TRANSPOSE(D114:X114)</f>
        <v>-316182.91592320055</v>
      </c>
      <c r="I142" s="1185">
        <f>D$131</f>
        <v>5034851.7180701196</v>
      </c>
      <c r="J142" s="1185">
        <f>D$132</f>
        <v>-724375.06038005243</v>
      </c>
      <c r="K142" s="1185">
        <f t="shared" ref="K142:K162" si="304">SUM(I142:J142)</f>
        <v>4310476.6576900668</v>
      </c>
      <c r="L142" s="1185">
        <f t="shared" ref="L142:L162" si="305">U142+V142+W142</f>
        <v>51478168.980550289</v>
      </c>
      <c r="M142" s="1185">
        <f t="shared" ref="M142:M162" si="306">X142</f>
        <v>5454643.4942203239</v>
      </c>
      <c r="N142" s="1528">
        <f t="shared" ref="N142:N162" si="307">SUM(L142:M142)</f>
        <v>56932812.474770613</v>
      </c>
      <c r="Q142" s="1552">
        <f t="array" ref="Q142:Q162">TRANSPOSE(D124:X124)</f>
        <v>2673343.5188161754</v>
      </c>
      <c r="R142" s="1553">
        <f t="array" ref="R142:R162">TRANSPOSE(D125:X125)</f>
        <v>1480861.9413649132</v>
      </c>
      <c r="S142" s="1553">
        <f t="array" ref="S142:S162">TRANSPOSE(D126:X126)</f>
        <v>880646.25788903062</v>
      </c>
      <c r="T142" s="1554">
        <f t="array" ref="T142:T162">TRANSPOSE(D127:X127)</f>
        <v>-724375.06038005243</v>
      </c>
      <c r="U142" s="1552">
        <f t="array" ref="U142:U162">TRANSPOSE(D94:X94)*$F$120</f>
        <v>27515392.071279671</v>
      </c>
      <c r="V142" s="1553">
        <f t="array" ref="V142:V162">TRANSPOSE(D95:X95)*$F$120</f>
        <v>14906901.249151437</v>
      </c>
      <c r="W142" s="1553">
        <f t="array" ref="W142:W162">TRANSPOSE(D96:X96)*$F$120</f>
        <v>9055875.6601191871</v>
      </c>
      <c r="X142" s="1555">
        <f t="array" ref="X142:X162">TRANSPOSE(D97:X97)*$F$120</f>
        <v>5454643.4942203239</v>
      </c>
      <c r="AA142" s="1064"/>
      <c r="AB142" s="1064"/>
      <c r="AC142" s="1064"/>
      <c r="AD142" s="1064"/>
      <c r="AE142" s="1064"/>
    </row>
    <row r="143" spans="1:36" s="1066" customFormat="1" ht="20.25" x14ac:dyDescent="0.25">
      <c r="A143" s="1064"/>
      <c r="B143" s="1065"/>
      <c r="D143" s="1064"/>
      <c r="E143" s="1489">
        <v>5</v>
      </c>
      <c r="F143" s="988">
        <f>F142+1</f>
        <v>2024</v>
      </c>
      <c r="G143" s="1625">
        <v>2379010.921624803</v>
      </c>
      <c r="H143" s="1625">
        <v>-349668.75361151341</v>
      </c>
      <c r="I143" s="1185">
        <f>E$131</f>
        <v>4817497.1162902256</v>
      </c>
      <c r="J143" s="1185">
        <f>E$132</f>
        <v>-801091.11452397716</v>
      </c>
      <c r="K143" s="1185">
        <f t="shared" si="304"/>
        <v>4016406.0017662486</v>
      </c>
      <c r="L143" s="1185">
        <f t="shared" si="305"/>
        <v>52571400.865629271</v>
      </c>
      <c r="M143" s="1185">
        <f t="shared" si="306"/>
        <v>5653114.3532639928</v>
      </c>
      <c r="N143" s="1528">
        <f t="shared" si="307"/>
        <v>58224515.21889326</v>
      </c>
      <c r="Q143" s="1552">
        <v>2563426.7355355229</v>
      </c>
      <c r="R143" s="1553">
        <v>1409647.2184837742</v>
      </c>
      <c r="S143" s="1553">
        <v>844423.16227092897</v>
      </c>
      <c r="T143" s="1554">
        <v>-801091.11452397716</v>
      </c>
      <c r="U143" s="1552">
        <v>28161839.964622255</v>
      </c>
      <c r="V143" s="1553">
        <v>15141847.657930128</v>
      </c>
      <c r="W143" s="1553">
        <v>9267713.2430768944</v>
      </c>
      <c r="X143" s="1555">
        <v>5653114.3532639928</v>
      </c>
      <c r="AA143" s="1064"/>
      <c r="AB143" s="1064"/>
      <c r="AC143" s="1064"/>
      <c r="AD143" s="1064"/>
      <c r="AE143" s="1064"/>
    </row>
    <row r="144" spans="1:36" s="1066" customFormat="1" ht="20.25" x14ac:dyDescent="0.25">
      <c r="A144" s="1064"/>
      <c r="B144" s="1065"/>
      <c r="D144" s="1064"/>
      <c r="E144" s="1489">
        <v>6</v>
      </c>
      <c r="F144" s="988">
        <f t="shared" ref="F144:F162" si="308">F143+1</f>
        <v>2025</v>
      </c>
      <c r="G144" s="1625">
        <v>1677311.8673924366</v>
      </c>
      <c r="H144" s="1625">
        <v>-355645.73977228859</v>
      </c>
      <c r="I144" s="1185">
        <f>F$131</f>
        <v>3396556.5314696841</v>
      </c>
      <c r="J144" s="1185">
        <f>F$132</f>
        <v>-814784.38981831318</v>
      </c>
      <c r="K144" s="1185">
        <f t="shared" si="304"/>
        <v>2581772.141651371</v>
      </c>
      <c r="L144" s="1185">
        <f t="shared" si="305"/>
        <v>54438744.755782217</v>
      </c>
      <c r="M144" s="1185">
        <f t="shared" si="306"/>
        <v>5765564.3321587509</v>
      </c>
      <c r="N144" s="1528">
        <f t="shared" si="307"/>
        <v>60204309.087940969</v>
      </c>
      <c r="Q144" s="1552">
        <v>1806959.509921554</v>
      </c>
      <c r="R144" s="1553">
        <v>994145.91992792813</v>
      </c>
      <c r="S144" s="1553">
        <v>595451.10162020172</v>
      </c>
      <c r="T144" s="1554">
        <v>-814784.38981831318</v>
      </c>
      <c r="U144" s="1552">
        <v>29226267.232516125</v>
      </c>
      <c r="V144" s="1553">
        <v>15595430.746607495</v>
      </c>
      <c r="W144" s="1553">
        <v>9617046.7766585946</v>
      </c>
      <c r="X144" s="1555">
        <v>5765564.3321587509</v>
      </c>
      <c r="AA144" s="1064"/>
      <c r="AB144" s="1064"/>
      <c r="AC144" s="1064"/>
      <c r="AD144" s="1064"/>
      <c r="AE144" s="1064"/>
    </row>
    <row r="145" spans="1:31" s="1066" customFormat="1" ht="20.25" x14ac:dyDescent="0.25">
      <c r="A145" s="1064"/>
      <c r="B145" s="1065"/>
      <c r="D145" s="1064"/>
      <c r="E145" s="1489">
        <v>7</v>
      </c>
      <c r="F145" s="988">
        <f t="shared" si="308"/>
        <v>2026</v>
      </c>
      <c r="G145" s="1625">
        <v>1563994.6740202224</v>
      </c>
      <c r="H145" s="1625">
        <v>-361171.84077712521</v>
      </c>
      <c r="I145" s="1185">
        <f>G$131</f>
        <v>3167089.2148909504</v>
      </c>
      <c r="J145" s="1185">
        <f>G$132</f>
        <v>-827444.6872203938</v>
      </c>
      <c r="K145" s="1185">
        <f t="shared" si="304"/>
        <v>2339644.5276705567</v>
      </c>
      <c r="L145" s="1185">
        <f t="shared" si="305"/>
        <v>55562586.838401541</v>
      </c>
      <c r="M145" s="1185">
        <f t="shared" si="306"/>
        <v>5879137.5405994495</v>
      </c>
      <c r="N145" s="1528">
        <f t="shared" si="307"/>
        <v>61441724.379000992</v>
      </c>
      <c r="Q145" s="1552">
        <v>1688083.757937368</v>
      </c>
      <c r="R145" s="1553">
        <v>922687.82185940794</v>
      </c>
      <c r="S145" s="1553">
        <v>556317.6350941743</v>
      </c>
      <c r="T145" s="1554">
        <v>-827444.6872203938</v>
      </c>
      <c r="U145" s="1552">
        <v>29894851.698016886</v>
      </c>
      <c r="V145" s="1553">
        <v>15831665.45725549</v>
      </c>
      <c r="W145" s="1553">
        <v>9836069.6831291653</v>
      </c>
      <c r="X145" s="1555">
        <v>5879137.5405994495</v>
      </c>
      <c r="AA145" s="1064"/>
      <c r="AB145" s="1064"/>
      <c r="AC145" s="1064"/>
      <c r="AD145" s="1064"/>
      <c r="AE145" s="1064"/>
    </row>
    <row r="146" spans="1:31" s="1066" customFormat="1" ht="20.25" x14ac:dyDescent="0.25">
      <c r="A146" s="1064"/>
      <c r="B146" s="1065"/>
      <c r="D146" s="1064"/>
      <c r="E146" s="1489">
        <v>8</v>
      </c>
      <c r="F146" s="988">
        <f t="shared" si="308"/>
        <v>2027</v>
      </c>
      <c r="G146" s="1625">
        <v>974884.84585261252</v>
      </c>
      <c r="H146" s="1625">
        <v>-375367.84828486992</v>
      </c>
      <c r="I146" s="1185">
        <f>H$131</f>
        <v>1974141.8128515403</v>
      </c>
      <c r="J146" s="1185">
        <f>H$132</f>
        <v>-859967.74042063695</v>
      </c>
      <c r="K146" s="1185">
        <f t="shared" si="304"/>
        <v>1114174.0724309033</v>
      </c>
      <c r="L146" s="1185">
        <f t="shared" si="305"/>
        <v>57213782.166327313</v>
      </c>
      <c r="M146" s="1185">
        <f t="shared" si="306"/>
        <v>6047359.7359190816</v>
      </c>
      <c r="N146" s="1528">
        <f t="shared" si="307"/>
        <v>63261141.902246393</v>
      </c>
      <c r="Q146" s="1552">
        <v>1049273.38891721</v>
      </c>
      <c r="R146" s="1553">
        <v>578735.50871955417</v>
      </c>
      <c r="S146" s="1553">
        <v>346132.91521477606</v>
      </c>
      <c r="T146" s="1554">
        <v>-859967.74042063695</v>
      </c>
      <c r="U146" s="1552">
        <v>30850218.542632714</v>
      </c>
      <c r="V146" s="1553">
        <v>16214166.298486682</v>
      </c>
      <c r="W146" s="1553">
        <v>10149397.325207917</v>
      </c>
      <c r="X146" s="1555">
        <v>6047359.7359190816</v>
      </c>
      <c r="AA146" s="1064"/>
      <c r="AB146" s="1064"/>
      <c r="AC146" s="1064"/>
      <c r="AD146" s="1064"/>
      <c r="AE146" s="1064"/>
    </row>
    <row r="147" spans="1:31" s="1066" customFormat="1" ht="20.25" x14ac:dyDescent="0.25">
      <c r="A147" s="1064"/>
      <c r="B147" s="1065"/>
      <c r="D147" s="1064"/>
      <c r="E147" s="1489">
        <v>9</v>
      </c>
      <c r="F147" s="988">
        <f t="shared" si="308"/>
        <v>2028</v>
      </c>
      <c r="G147" s="1625">
        <v>600610.4995180266</v>
      </c>
      <c r="H147" s="1625">
        <v>-406330.90846025851</v>
      </c>
      <c r="I147" s="1185">
        <f>I$131</f>
        <v>1216236.2615240037</v>
      </c>
      <c r="J147" s="1185">
        <f>I$132</f>
        <v>-930904.11128245224</v>
      </c>
      <c r="K147" s="1185">
        <f t="shared" si="304"/>
        <v>285332.15024155146</v>
      </c>
      <c r="L147" s="1185">
        <f t="shared" si="305"/>
        <v>58884979.989237584</v>
      </c>
      <c r="M147" s="1185">
        <f t="shared" si="306"/>
        <v>6217350.6662875162</v>
      </c>
      <c r="N147" s="1528">
        <f t="shared" si="307"/>
        <v>65102330.655525103</v>
      </c>
      <c r="Q147" s="1552">
        <v>642651.67157424684</v>
      </c>
      <c r="R147" s="1553">
        <v>361206.71435870195</v>
      </c>
      <c r="S147" s="1553">
        <v>212377.875591055</v>
      </c>
      <c r="T147" s="1554">
        <v>-930904.11128245224</v>
      </c>
      <c r="U147" s="1552">
        <v>31820039.774120592</v>
      </c>
      <c r="V147" s="1553">
        <v>16597522.784894548</v>
      </c>
      <c r="W147" s="1553">
        <v>10467417.430222446</v>
      </c>
      <c r="X147" s="1555">
        <v>6217350.6662875162</v>
      </c>
      <c r="AA147" s="1064"/>
      <c r="AB147" s="1064"/>
      <c r="AC147" s="1064"/>
      <c r="AD147" s="1064"/>
      <c r="AE147" s="1064"/>
    </row>
    <row r="148" spans="1:31" s="1066" customFormat="1" ht="20.25" x14ac:dyDescent="0.25">
      <c r="A148" s="1064"/>
      <c r="B148" s="1065"/>
      <c r="D148" s="1064"/>
      <c r="E148" s="1489">
        <v>10</v>
      </c>
      <c r="F148" s="988">
        <f t="shared" si="308"/>
        <v>2029</v>
      </c>
      <c r="G148" s="1625">
        <v>147181.79633220006</v>
      </c>
      <c r="H148" s="1625">
        <v>-414599.44792108005</v>
      </c>
      <c r="I148" s="1185">
        <f>J$131</f>
        <v>298043.13757270511</v>
      </c>
      <c r="J148" s="1185">
        <f>J$132</f>
        <v>-949847.3351871944</v>
      </c>
      <c r="K148" s="1185">
        <f t="shared" si="304"/>
        <v>-651804.19761448936</v>
      </c>
      <c r="L148" s="1185">
        <f t="shared" si="305"/>
        <v>60576419.589112818</v>
      </c>
      <c r="M148" s="1185">
        <f t="shared" si="306"/>
        <v>6389125.2790823635</v>
      </c>
      <c r="N148" s="1528">
        <f t="shared" si="307"/>
        <v>66965544.868195184</v>
      </c>
      <c r="Q148" s="1552">
        <v>147510.65196141836</v>
      </c>
      <c r="R148" s="1553">
        <v>101000.62382498338</v>
      </c>
      <c r="S148" s="1553">
        <v>49531.861786303343</v>
      </c>
      <c r="T148" s="1554">
        <v>-949847.3351871944</v>
      </c>
      <c r="U148" s="1552">
        <v>32804495.412166942</v>
      </c>
      <c r="V148" s="1553">
        <v>16981736.37498153</v>
      </c>
      <c r="W148" s="1553">
        <v>10790187.801964344</v>
      </c>
      <c r="X148" s="1555">
        <v>6389125.2790823635</v>
      </c>
      <c r="AA148" s="1064"/>
      <c r="AB148" s="1064"/>
      <c r="AC148" s="1064"/>
      <c r="AD148" s="1064"/>
      <c r="AE148" s="1064"/>
    </row>
    <row r="149" spans="1:31" s="1066" customFormat="1" ht="20.25" x14ac:dyDescent="0.25">
      <c r="A149" s="1064"/>
      <c r="B149" s="1065"/>
      <c r="D149" s="1064"/>
      <c r="E149" s="1489">
        <v>11</v>
      </c>
      <c r="F149" s="988">
        <f t="shared" si="308"/>
        <v>2030</v>
      </c>
      <c r="G149" s="1625">
        <v>-462575.2155622039</v>
      </c>
      <c r="H149" s="1625">
        <v>-444702.90085558826</v>
      </c>
      <c r="I149" s="1185">
        <f>K$131</f>
        <v>-936714.8115134628</v>
      </c>
      <c r="J149" s="1185">
        <f>K$132</f>
        <v>-1018814.3458601526</v>
      </c>
      <c r="K149" s="1185">
        <f t="shared" si="304"/>
        <v>-1955529.1573736155</v>
      </c>
      <c r="L149" s="1185">
        <f t="shared" si="305"/>
        <v>62288342.945198715</v>
      </c>
      <c r="M149" s="1185">
        <f t="shared" si="306"/>
        <v>6562698.6360945655</v>
      </c>
      <c r="N149" s="1528">
        <f t="shared" si="307"/>
        <v>68851041.581293285</v>
      </c>
      <c r="Q149" s="1552">
        <v>-521482.75664993894</v>
      </c>
      <c r="R149" s="1553">
        <v>-244767.45511225823</v>
      </c>
      <c r="S149" s="1553">
        <v>-170464.59975126566</v>
      </c>
      <c r="T149" s="1554">
        <v>-1018814.3458601526</v>
      </c>
      <c r="U149" s="1552">
        <v>33803767.522009701</v>
      </c>
      <c r="V149" s="1553">
        <v>17366808.529468872</v>
      </c>
      <c r="W149" s="1553">
        <v>11117766.893720141</v>
      </c>
      <c r="X149" s="1555">
        <v>6562698.6360945655</v>
      </c>
      <c r="AA149" s="1064"/>
      <c r="AB149" s="1064"/>
      <c r="AC149" s="1064"/>
      <c r="AD149" s="1064"/>
      <c r="AE149" s="1064"/>
    </row>
    <row r="150" spans="1:31" s="1066" customFormat="1" ht="20.25" x14ac:dyDescent="0.25">
      <c r="A150" s="1064"/>
      <c r="B150" s="1065"/>
      <c r="D150" s="1064"/>
      <c r="E150" s="1489">
        <v>12</v>
      </c>
      <c r="F150" s="988">
        <f t="shared" si="308"/>
        <v>2031</v>
      </c>
      <c r="G150" s="1625">
        <v>-852489.08836878184</v>
      </c>
      <c r="H150" s="1625">
        <v>-455835.51812716573</v>
      </c>
      <c r="I150" s="1185">
        <f>L$131</f>
        <v>-1726290.4039467832</v>
      </c>
      <c r="J150" s="1185">
        <f>L$132</f>
        <v>-1044319.1720293367</v>
      </c>
      <c r="K150" s="1185">
        <f t="shared" si="304"/>
        <v>-2770609.5759761198</v>
      </c>
      <c r="L150" s="1185">
        <f t="shared" si="305"/>
        <v>64020994.762956731</v>
      </c>
      <c r="M150" s="1185">
        <f t="shared" si="306"/>
        <v>6738085.914355834</v>
      </c>
      <c r="N150" s="1528">
        <f t="shared" si="307"/>
        <v>70759080.677312568</v>
      </c>
      <c r="Q150" s="1552">
        <v>-951301.64871428115</v>
      </c>
      <c r="R150" s="1553">
        <v>-463234.71552969282</v>
      </c>
      <c r="S150" s="1553">
        <v>-311754.03970280918</v>
      </c>
      <c r="T150" s="1554">
        <v>-1044319.1720293367</v>
      </c>
      <c r="U150" s="1552">
        <v>34818040.236469202</v>
      </c>
      <c r="V150" s="1553">
        <v>17752740.711299818</v>
      </c>
      <c r="W150" s="1553">
        <v>11450213.815187713</v>
      </c>
      <c r="X150" s="1555">
        <v>6738085.914355834</v>
      </c>
      <c r="AA150" s="1064"/>
      <c r="AB150" s="1064"/>
      <c r="AC150" s="1064"/>
      <c r="AD150" s="1064"/>
      <c r="AE150" s="1064"/>
    </row>
    <row r="151" spans="1:31" s="1066" customFormat="1" ht="20.25" x14ac:dyDescent="0.25">
      <c r="A151" s="1064"/>
      <c r="B151" s="1065"/>
      <c r="D151" s="1064"/>
      <c r="E151" s="1489">
        <v>13</v>
      </c>
      <c r="F151" s="988">
        <f t="shared" si="308"/>
        <v>2032</v>
      </c>
      <c r="G151" s="1625">
        <v>-1804708.0451853583</v>
      </c>
      <c r="H151" s="1625">
        <v>-525894.22211486427</v>
      </c>
      <c r="I151" s="1185">
        <f>M$131</f>
        <v>-3654533.7915003505</v>
      </c>
      <c r="J151" s="1185">
        <f>M$132</f>
        <v>-1204823.662865154</v>
      </c>
      <c r="K151" s="1185">
        <f t="shared" si="304"/>
        <v>-4859357.4543655049</v>
      </c>
      <c r="L151" s="1185">
        <f t="shared" si="305"/>
        <v>66439012.629610568</v>
      </c>
      <c r="M151" s="1185">
        <f t="shared" si="306"/>
        <v>6997955.4237882746</v>
      </c>
      <c r="N151" s="1528">
        <f t="shared" si="307"/>
        <v>73436968.053398848</v>
      </c>
      <c r="Q151" s="1552">
        <v>-2003410.0618273541</v>
      </c>
      <c r="R151" s="1553">
        <v>-993476.19888830232</v>
      </c>
      <c r="S151" s="1553">
        <v>-657647.53078469378</v>
      </c>
      <c r="T151" s="1554">
        <v>-1204823.662865154</v>
      </c>
      <c r="U151" s="1552">
        <v>36209595.735563591</v>
      </c>
      <c r="V151" s="1553">
        <v>18322762.005699784</v>
      </c>
      <c r="W151" s="1553">
        <v>11906654.888347192</v>
      </c>
      <c r="X151" s="1555">
        <v>6997955.4237882746</v>
      </c>
      <c r="AA151" s="1064"/>
      <c r="AB151" s="1064"/>
      <c r="AC151" s="1064"/>
      <c r="AD151" s="1064"/>
      <c r="AE151" s="1064"/>
    </row>
    <row r="152" spans="1:31" s="1066" customFormat="1" ht="20.25" x14ac:dyDescent="0.25">
      <c r="A152" s="1064"/>
      <c r="B152" s="1065"/>
      <c r="D152" s="1064"/>
      <c r="E152" s="1489">
        <v>14</v>
      </c>
      <c r="F152" s="988">
        <f t="shared" si="308"/>
        <v>2033</v>
      </c>
      <c r="G152" s="1625">
        <v>-2306558.5922575742</v>
      </c>
      <c r="H152" s="1625">
        <v>-591597.75001993682</v>
      </c>
      <c r="I152" s="1185">
        <f>N$131</f>
        <v>-4670781.1493215878</v>
      </c>
      <c r="J152" s="1185">
        <f>N$132</f>
        <v>-1355350.4452956752</v>
      </c>
      <c r="K152" s="1185">
        <f t="shared" si="304"/>
        <v>-6026131.5946172625</v>
      </c>
      <c r="L152" s="1185">
        <f t="shared" si="305"/>
        <v>68887089.806520835</v>
      </c>
      <c r="M152" s="1185">
        <f t="shared" si="306"/>
        <v>7251400.2165491059</v>
      </c>
      <c r="N152" s="1528">
        <f t="shared" si="307"/>
        <v>76138490.023069948</v>
      </c>
      <c r="Q152" s="1552">
        <v>-2562003.1573385275</v>
      </c>
      <c r="R152" s="1553">
        <v>-1267588.0995167675</v>
      </c>
      <c r="S152" s="1553">
        <v>-841189.8924662926</v>
      </c>
      <c r="T152" s="1554">
        <v>-1355350.4452956752</v>
      </c>
      <c r="U152" s="1552">
        <v>37622875.75909771</v>
      </c>
      <c r="V152" s="1553">
        <v>18894066.089595415</v>
      </c>
      <c r="W152" s="1553">
        <v>12370147.957827704</v>
      </c>
      <c r="X152" s="1555">
        <v>7251400.2165491059</v>
      </c>
      <c r="AA152" s="1064"/>
      <c r="AB152" s="1064"/>
      <c r="AC152" s="1064"/>
      <c r="AD152" s="1064"/>
      <c r="AE152" s="1064"/>
    </row>
    <row r="153" spans="1:31" s="1066" customFormat="1" ht="20.25" x14ac:dyDescent="0.25">
      <c r="A153" s="1064"/>
      <c r="B153" s="1065"/>
      <c r="D153" s="1064"/>
      <c r="E153" s="1489">
        <v>15</v>
      </c>
      <c r="F153" s="988">
        <f t="shared" si="308"/>
        <v>2034</v>
      </c>
      <c r="G153" s="1625">
        <v>-3213943.4269411573</v>
      </c>
      <c r="H153" s="1625">
        <v>-642128.53827953199</v>
      </c>
      <c r="I153" s="1185">
        <f>O$131</f>
        <v>-6508235.4395558434</v>
      </c>
      <c r="J153" s="1185">
        <f>O$132</f>
        <v>-1471116.4811984077</v>
      </c>
      <c r="K153" s="1185">
        <f t="shared" si="304"/>
        <v>-7979351.9207542511</v>
      </c>
      <c r="L153" s="1185">
        <f t="shared" si="305"/>
        <v>71230938.353813723</v>
      </c>
      <c r="M153" s="1185">
        <f t="shared" si="306"/>
        <v>7516865.131058434</v>
      </c>
      <c r="N153" s="1528">
        <f t="shared" si="307"/>
        <v>78747803.484872162</v>
      </c>
      <c r="Q153" s="1552">
        <v>-3572171.1286445353</v>
      </c>
      <c r="R153" s="1553">
        <v>-1762892.5075168677</v>
      </c>
      <c r="S153" s="1553">
        <v>-1173171.8033944403</v>
      </c>
      <c r="T153" s="1554">
        <v>-1471116.4811984077</v>
      </c>
      <c r="U153" s="1552">
        <v>38984459.648585238</v>
      </c>
      <c r="V153" s="1553">
        <v>19429925.616055317</v>
      </c>
      <c r="W153" s="1553">
        <v>12816553.08917317</v>
      </c>
      <c r="X153" s="1555">
        <v>7516865.131058434</v>
      </c>
      <c r="AA153" s="1064"/>
      <c r="AB153" s="1064"/>
      <c r="AC153" s="1064"/>
      <c r="AD153" s="1064"/>
      <c r="AE153" s="1064"/>
    </row>
    <row r="154" spans="1:31" s="1066" customFormat="1" ht="20.25" x14ac:dyDescent="0.25">
      <c r="A154" s="1064"/>
      <c r="B154" s="1065"/>
      <c r="D154" s="1064"/>
      <c r="E154" s="1489">
        <v>16</v>
      </c>
      <c r="F154" s="988">
        <f t="shared" si="308"/>
        <v>2035</v>
      </c>
      <c r="G154" s="1625">
        <v>-2725882.2121031173</v>
      </c>
      <c r="H154" s="1625">
        <v>-707724.02471342776</v>
      </c>
      <c r="I154" s="1185">
        <f>P$131</f>
        <v>-5519911.4795088116</v>
      </c>
      <c r="J154" s="1185">
        <f>P$132</f>
        <v>-1621395.7406184629</v>
      </c>
      <c r="K154" s="1185">
        <f t="shared" si="304"/>
        <v>-7141307.2201272743</v>
      </c>
      <c r="L154" s="1185">
        <f t="shared" si="305"/>
        <v>71706078.797927827</v>
      </c>
      <c r="M154" s="1185">
        <f t="shared" si="306"/>
        <v>7775844.7470747596</v>
      </c>
      <c r="N154" s="1528">
        <f t="shared" si="307"/>
        <v>79481923.54500258</v>
      </c>
      <c r="Q154" s="1552">
        <v>-3036880.4302421566</v>
      </c>
      <c r="R154" s="1553">
        <v>-1485997.681527175</v>
      </c>
      <c r="S154" s="1553">
        <v>-997033.36773948045</v>
      </c>
      <c r="T154" s="1554">
        <v>-1621395.7406184629</v>
      </c>
      <c r="U154" s="1552">
        <v>39326256.412764035</v>
      </c>
      <c r="V154" s="1553">
        <v>19452185.51781597</v>
      </c>
      <c r="W154" s="1553">
        <v>12927636.867347823</v>
      </c>
      <c r="X154" s="1555">
        <v>7775844.7470747596</v>
      </c>
      <c r="AA154" s="1064"/>
      <c r="AB154" s="1064"/>
      <c r="AC154" s="1064"/>
      <c r="AD154" s="1064"/>
      <c r="AE154" s="1064"/>
    </row>
    <row r="155" spans="1:31" s="1066" customFormat="1" ht="20.25" x14ac:dyDescent="0.25">
      <c r="A155" s="1064"/>
      <c r="B155" s="1065"/>
      <c r="D155" s="1064"/>
      <c r="E155" s="1489">
        <v>17</v>
      </c>
      <c r="F155" s="988">
        <f t="shared" si="308"/>
        <v>2036</v>
      </c>
      <c r="G155" s="1625">
        <v>-3714765.8797990577</v>
      </c>
      <c r="H155" s="1625">
        <v>-731452.76109342929</v>
      </c>
      <c r="I155" s="1185">
        <f>Q$131</f>
        <v>-7522400.9065930918</v>
      </c>
      <c r="J155" s="1185">
        <f>Q$132</f>
        <v>-1675758.2756650464</v>
      </c>
      <c r="K155" s="1185">
        <f t="shared" si="304"/>
        <v>-9198159.1822581384</v>
      </c>
      <c r="L155" s="1185">
        <f t="shared" si="305"/>
        <v>74232043.678011984</v>
      </c>
      <c r="M155" s="1185">
        <f t="shared" si="306"/>
        <v>8047000.6665047863</v>
      </c>
      <c r="N155" s="1528">
        <f t="shared" si="307"/>
        <v>82279044.344516769</v>
      </c>
      <c r="Q155" s="1552">
        <v>-4142832.6596845472</v>
      </c>
      <c r="R155" s="1553">
        <v>-2019152.530007439</v>
      </c>
      <c r="S155" s="1553">
        <v>-1360415.7169011054</v>
      </c>
      <c r="T155" s="1554">
        <v>-1675758.2756650464</v>
      </c>
      <c r="U155" s="1552">
        <v>40795937.877527639</v>
      </c>
      <c r="V155" s="1553">
        <v>20026677.091442455</v>
      </c>
      <c r="W155" s="1553">
        <v>13409428.709041895</v>
      </c>
      <c r="X155" s="1555">
        <v>8047000.6665047863</v>
      </c>
      <c r="AA155" s="1064"/>
      <c r="AB155" s="1064"/>
      <c r="AC155" s="1064"/>
      <c r="AD155" s="1064"/>
      <c r="AE155" s="1064"/>
    </row>
    <row r="156" spans="1:31" s="1066" customFormat="1" ht="20.25" x14ac:dyDescent="0.25">
      <c r="A156" s="1064"/>
      <c r="B156" s="1065"/>
      <c r="D156" s="1064"/>
      <c r="E156" s="1489">
        <v>18</v>
      </c>
      <c r="F156" s="988">
        <f t="shared" si="308"/>
        <v>2037</v>
      </c>
      <c r="G156" s="1625">
        <v>-4238982.6218733955</v>
      </c>
      <c r="H156" s="1625">
        <v>-852362.70138632506</v>
      </c>
      <c r="I156" s="1185">
        <f>R$131</f>
        <v>-8583939.809293624</v>
      </c>
      <c r="J156" s="1185">
        <f>R$132</f>
        <v>-1952762.9488760706</v>
      </c>
      <c r="K156" s="1185">
        <f t="shared" si="304"/>
        <v>-10536702.758169694</v>
      </c>
      <c r="L156" s="1185">
        <f t="shared" si="305"/>
        <v>76789427.734172657</v>
      </c>
      <c r="M156" s="1185">
        <f t="shared" si="306"/>
        <v>8425079.2496821545</v>
      </c>
      <c r="N156" s="1528">
        <f t="shared" si="307"/>
        <v>85214506.983854815</v>
      </c>
      <c r="Q156" s="1552">
        <v>-4735218.3660292039</v>
      </c>
      <c r="R156" s="1553">
        <v>-2293805.8580695833</v>
      </c>
      <c r="S156" s="1553">
        <v>-1554915.5851948382</v>
      </c>
      <c r="T156" s="1554">
        <v>-1952762.9488760706</v>
      </c>
      <c r="U156" s="1552">
        <v>42288367.264234431</v>
      </c>
      <c r="V156" s="1553">
        <v>20602459.466772366</v>
      </c>
      <c r="W156" s="1553">
        <v>13898601.00316586</v>
      </c>
      <c r="X156" s="1555">
        <v>8425079.2496821545</v>
      </c>
      <c r="AA156" s="1064"/>
      <c r="AB156" s="1064"/>
      <c r="AC156" s="1064"/>
      <c r="AD156" s="1064"/>
      <c r="AE156" s="1064"/>
    </row>
    <row r="157" spans="1:31" s="1066" customFormat="1" ht="20.25" x14ac:dyDescent="0.25">
      <c r="A157" s="1064"/>
      <c r="B157" s="1065"/>
      <c r="D157" s="1064"/>
      <c r="E157" s="1489">
        <v>19</v>
      </c>
      <c r="F157" s="988">
        <f t="shared" si="308"/>
        <v>2038</v>
      </c>
      <c r="G157" s="1625">
        <v>-5728456.6604152136</v>
      </c>
      <c r="H157" s="1625">
        <v>-761071.40659940429</v>
      </c>
      <c r="I157" s="1185">
        <f>S$131</f>
        <v>-11600124.737340808</v>
      </c>
      <c r="J157" s="1185">
        <f>S$132</f>
        <v>-1743614.5925192351</v>
      </c>
      <c r="K157" s="1185">
        <f t="shared" si="304"/>
        <v>-13343739.329860043</v>
      </c>
      <c r="L157" s="1185">
        <f t="shared" si="305"/>
        <v>80346642.664789736</v>
      </c>
      <c r="M157" s="1185">
        <f t="shared" si="306"/>
        <v>8474420.5567972977</v>
      </c>
      <c r="N157" s="1528">
        <f t="shared" si="307"/>
        <v>88821063.221587032</v>
      </c>
      <c r="Q157" s="1552">
        <v>-6408478.5816114116</v>
      </c>
      <c r="R157" s="1553">
        <v>-3087043.5763371298</v>
      </c>
      <c r="S157" s="1553">
        <v>-2104602.5793922651</v>
      </c>
      <c r="T157" s="1554">
        <v>-1743614.5925192351</v>
      </c>
      <c r="U157" s="1552">
        <v>44338023.539622873</v>
      </c>
      <c r="V157" s="1553">
        <v>21437821.857725989</v>
      </c>
      <c r="W157" s="1553">
        <v>14570797.267440872</v>
      </c>
      <c r="X157" s="1555">
        <v>8474420.5567972977</v>
      </c>
      <c r="AA157" s="1064"/>
      <c r="AB157" s="1064"/>
      <c r="AC157" s="1064"/>
      <c r="AD157" s="1064"/>
      <c r="AE157" s="1064"/>
    </row>
    <row r="158" spans="1:31" s="1066" customFormat="1" ht="20.25" x14ac:dyDescent="0.25">
      <c r="A158" s="1064"/>
      <c r="B158" s="1065"/>
      <c r="D158" s="1064"/>
      <c r="E158" s="1489">
        <v>20</v>
      </c>
      <c r="F158" s="988">
        <f t="shared" si="308"/>
        <v>2039</v>
      </c>
      <c r="G158" s="1625">
        <v>-6752363.0564690484</v>
      </c>
      <c r="H158" s="1625">
        <v>-881455.25770960096</v>
      </c>
      <c r="I158" s="1185">
        <f>T$131</f>
        <v>-13673535.189349823</v>
      </c>
      <c r="J158" s="1185">
        <f>T$132</f>
        <v>-2019413.9954126957</v>
      </c>
      <c r="K158" s="1185">
        <f t="shared" si="304"/>
        <v>-15692949.184762519</v>
      </c>
      <c r="L158" s="1185">
        <f t="shared" si="305"/>
        <v>83949042.784979403</v>
      </c>
      <c r="M158" s="1185">
        <f t="shared" si="306"/>
        <v>8858890.0884890594</v>
      </c>
      <c r="N158" s="1528">
        <f t="shared" si="307"/>
        <v>92807932.873468459</v>
      </c>
      <c r="Q158" s="1552">
        <v>-7567256.077646954</v>
      </c>
      <c r="R158" s="1553">
        <v>-3621177.7840869557</v>
      </c>
      <c r="S158" s="1553">
        <v>-2485101.327615913</v>
      </c>
      <c r="T158" s="1554">
        <v>-2019413.9954126957</v>
      </c>
      <c r="U158" s="1552">
        <v>46420369.915207922</v>
      </c>
      <c r="V158" s="1553">
        <v>22275071.274136022</v>
      </c>
      <c r="W158" s="1553">
        <v>15253601.595635451</v>
      </c>
      <c r="X158" s="1555">
        <v>8858890.0884890594</v>
      </c>
      <c r="AA158" s="1064"/>
      <c r="AB158" s="1064"/>
      <c r="AC158" s="1064"/>
      <c r="AD158" s="1064"/>
      <c r="AE158" s="1064"/>
    </row>
    <row r="159" spans="1:31" s="1066" customFormat="1" ht="20.25" x14ac:dyDescent="0.25">
      <c r="A159" s="1064"/>
      <c r="B159" s="1065"/>
      <c r="D159" s="1064"/>
      <c r="E159" s="1489">
        <v>21</v>
      </c>
      <c r="F159" s="988">
        <f t="shared" si="308"/>
        <v>2040</v>
      </c>
      <c r="G159" s="1625">
        <v>-6755151.5537237003</v>
      </c>
      <c r="H159" s="1625">
        <v>-1007261.5778098898</v>
      </c>
      <c r="I159" s="1185">
        <f>U$131</f>
        <v>-13679181.896290492</v>
      </c>
      <c r="J159" s="1185">
        <f>U$132</f>
        <v>-2307636.2747624572</v>
      </c>
      <c r="K159" s="1185">
        <f t="shared" si="304"/>
        <v>-15986818.17105295</v>
      </c>
      <c r="L159" s="1185">
        <f t="shared" si="305"/>
        <v>84513759.627847999</v>
      </c>
      <c r="M159" s="1185">
        <f t="shared" si="306"/>
        <v>9257195.1015674658</v>
      </c>
      <c r="N159" s="1528">
        <f t="shared" si="307"/>
        <v>93770954.729415461</v>
      </c>
      <c r="Q159" s="1552">
        <v>-7584821.6454067975</v>
      </c>
      <c r="R159" s="1553">
        <v>-3603778.2251515728</v>
      </c>
      <c r="S159" s="1553">
        <v>-2490582.0257321219</v>
      </c>
      <c r="T159" s="1554">
        <v>-2307636.2747624572</v>
      </c>
      <c r="U159" s="1552">
        <v>46827361.120729916</v>
      </c>
      <c r="V159" s="1553">
        <v>22300590.718114965</v>
      </c>
      <c r="W159" s="1553">
        <v>15385807.789003111</v>
      </c>
      <c r="X159" s="1555">
        <v>9257195.1015674658</v>
      </c>
      <c r="AA159" s="1064"/>
      <c r="AB159" s="1064"/>
      <c r="AC159" s="1064"/>
      <c r="AD159" s="1064"/>
      <c r="AE159" s="1064"/>
    </row>
    <row r="160" spans="1:31" s="1066" customFormat="1" x14ac:dyDescent="0.3">
      <c r="A160" s="1064"/>
      <c r="B160" s="1065"/>
      <c r="D160" s="1064"/>
      <c r="E160" s="1489">
        <v>22</v>
      </c>
      <c r="F160" s="988">
        <f t="shared" si="308"/>
        <v>2041</v>
      </c>
      <c r="G160" s="1625">
        <v>-7867171.9115032367</v>
      </c>
      <c r="H160" s="1625">
        <v>-1071735.3665996892</v>
      </c>
      <c r="I160" s="1185">
        <f>V$131</f>
        <v>-15931023.120794054</v>
      </c>
      <c r="J160" s="1185">
        <f>V$132</f>
        <v>-2455345.7248798879</v>
      </c>
      <c r="K160" s="1185">
        <f t="shared" si="304"/>
        <v>-18386368.845673941</v>
      </c>
      <c r="L160" s="1185">
        <f t="shared" si="305"/>
        <v>88328516.810412243</v>
      </c>
      <c r="M160" s="1185">
        <f t="shared" si="306"/>
        <v>9650182.3798252773</v>
      </c>
      <c r="N160" s="1528">
        <f t="shared" si="307"/>
        <v>97978699.190237522</v>
      </c>
      <c r="Q160" s="1552">
        <v>-8849482.5501160342</v>
      </c>
      <c r="R160" s="1553">
        <v>-4175791.0826828307</v>
      </c>
      <c r="S160" s="1553">
        <v>-2905749.4879951882</v>
      </c>
      <c r="T160" s="1554">
        <v>-2455345.7248798879</v>
      </c>
      <c r="U160" s="1552">
        <v>49039698.694048308</v>
      </c>
      <c r="V160" s="1553">
        <v>23177716.854780536</v>
      </c>
      <c r="W160" s="1553">
        <v>16111101.261583406</v>
      </c>
      <c r="X160" s="1555">
        <v>9650182.3798252773</v>
      </c>
      <c r="AA160" s="1064"/>
      <c r="AB160" s="1064"/>
      <c r="AC160" s="1064"/>
      <c r="AD160" s="1064"/>
      <c r="AE160" s="1064"/>
    </row>
    <row r="161" spans="1:31" s="1066" customFormat="1" x14ac:dyDescent="0.3">
      <c r="A161" s="1064"/>
      <c r="B161" s="1065"/>
      <c r="D161" s="1064"/>
      <c r="E161" s="1489">
        <v>23</v>
      </c>
      <c r="F161" s="988">
        <f t="shared" si="308"/>
        <v>2042</v>
      </c>
      <c r="G161" s="1625">
        <v>-9419610.268442044</v>
      </c>
      <c r="H161" s="1625">
        <v>-1024688.7886044178</v>
      </c>
      <c r="I161" s="1185">
        <f>W$131</f>
        <v>-19074710.793595139</v>
      </c>
      <c r="J161" s="1185">
        <f>W$132</f>
        <v>-2347562.014692721</v>
      </c>
      <c r="K161" s="1185">
        <f t="shared" si="304"/>
        <v>-21422272.808287859</v>
      </c>
      <c r="L161" s="1185">
        <f t="shared" si="305"/>
        <v>92049812.867985427</v>
      </c>
      <c r="M161" s="1185">
        <f t="shared" si="306"/>
        <v>9706698.4787733182</v>
      </c>
      <c r="N161" s="1528">
        <f t="shared" si="307"/>
        <v>101756511.34675875</v>
      </c>
      <c r="Q161" s="1552">
        <v>-10615161.483045015</v>
      </c>
      <c r="R161" s="1553">
        <v>-4974110.4267436732</v>
      </c>
      <c r="S161" s="1553">
        <v>-3485438.8838064494</v>
      </c>
      <c r="T161" s="1554">
        <v>-2347562.014692721</v>
      </c>
      <c r="U161" s="1552">
        <v>51208205.071363971</v>
      </c>
      <c r="V161" s="1553">
        <v>24019755.956758164</v>
      </c>
      <c r="W161" s="1553">
        <v>16821851.839863293</v>
      </c>
      <c r="X161" s="1555">
        <v>9706698.4787733182</v>
      </c>
      <c r="AA161" s="1064"/>
      <c r="AB161" s="1064"/>
      <c r="AC161" s="1064"/>
      <c r="AD161" s="1064"/>
      <c r="AE161" s="1064"/>
    </row>
    <row r="162" spans="1:31" s="1066" customFormat="1" x14ac:dyDescent="0.3">
      <c r="A162" s="1064"/>
      <c r="B162" s="1065"/>
      <c r="D162" s="1064"/>
      <c r="E162" s="1489">
        <v>24</v>
      </c>
      <c r="F162" s="988">
        <f t="shared" si="308"/>
        <v>2043</v>
      </c>
      <c r="G162" s="1625">
        <v>-9438987.1173836291</v>
      </c>
      <c r="H162" s="1625">
        <v>-1145545.04923495</v>
      </c>
      <c r="I162" s="1185">
        <f>X$131</f>
        <v>-19113948.912701845</v>
      </c>
      <c r="J162" s="1185">
        <f>X$132</f>
        <v>-2624443.7077972703</v>
      </c>
      <c r="K162" s="1185">
        <f t="shared" si="304"/>
        <v>-21738392.620499115</v>
      </c>
      <c r="L162" s="1185">
        <f t="shared" si="305"/>
        <v>92672098.274193913</v>
      </c>
      <c r="M162" s="1185">
        <f t="shared" si="306"/>
        <v>10106297.914882172</v>
      </c>
      <c r="N162" s="1528">
        <f t="shared" si="307"/>
        <v>102778396.18907608</v>
      </c>
      <c r="Q162" s="1552">
        <v>-10657265.103488309</v>
      </c>
      <c r="R162" s="1553">
        <v>-4957808.3207725473</v>
      </c>
      <c r="S162" s="1553">
        <v>-3498875.4884409895</v>
      </c>
      <c r="T162" s="1554">
        <v>-2624443.7077972703</v>
      </c>
      <c r="U162" s="1552">
        <v>51657173.68476969</v>
      </c>
      <c r="V162" s="1553">
        <v>24047274.199415278</v>
      </c>
      <c r="W162" s="1553">
        <v>16967650.390008945</v>
      </c>
      <c r="X162" s="1555">
        <v>10106297.914882172</v>
      </c>
      <c r="AA162" s="1064"/>
      <c r="AB162" s="1064"/>
      <c r="AC162" s="1064"/>
      <c r="AD162" s="1064"/>
      <c r="AE162" s="1064"/>
    </row>
    <row r="163" spans="1:31" s="1066" customFormat="1" ht="22.5" customHeight="1" thickBot="1" x14ac:dyDescent="0.35">
      <c r="A163" s="1064"/>
      <c r="B163" s="1065"/>
      <c r="D163" s="1064"/>
      <c r="E163" s="1529" t="s">
        <v>314</v>
      </c>
      <c r="F163" s="1530"/>
      <c r="G163" s="1624"/>
      <c r="H163" s="1624"/>
      <c r="I163" s="1531">
        <f>SUM(I142:I162)</f>
        <v>-112290916.64863649</v>
      </c>
      <c r="J163" s="1531">
        <f t="shared" ref="J163:K163" si="309">SUM(J142:J162)</f>
        <v>-30750771.821305592</v>
      </c>
      <c r="K163" s="1531">
        <f t="shared" si="309"/>
        <v>-143041688.46994206</v>
      </c>
      <c r="L163" s="1531">
        <f t="shared" ref="L163:N163" si="310">SUM(L145:L162)</f>
        <v>1309691570.3215013</v>
      </c>
      <c r="M163" s="1531">
        <f t="shared" si="310"/>
        <v>139901587.72733092</v>
      </c>
      <c r="N163" s="1532">
        <f t="shared" si="310"/>
        <v>1449593158.0488319</v>
      </c>
      <c r="Q163" s="1556">
        <f t="shared" ref="Q163:T163" si="311">SUM(Q142:Q162)</f>
        <v>-62636516.415781572</v>
      </c>
      <c r="R163" s="1557">
        <f t="shared" si="311"/>
        <v>-29102338.713403534</v>
      </c>
      <c r="S163" s="1557">
        <f t="shared" si="311"/>
        <v>-20552061.519451384</v>
      </c>
      <c r="T163" s="1558">
        <f t="shared" si="311"/>
        <v>-30750771.821305592</v>
      </c>
      <c r="U163" s="1559">
        <f t="shared" ref="U163:X163" si="312">SUM(U142:U162)</f>
        <v>803613237.17734933</v>
      </c>
      <c r="V163" s="1560">
        <f t="shared" si="312"/>
        <v>400375126.45838821</v>
      </c>
      <c r="W163" s="1560">
        <f t="shared" si="312"/>
        <v>264191521.28772515</v>
      </c>
      <c r="X163" s="1561">
        <f t="shared" si="312"/>
        <v>156774909.90697399</v>
      </c>
      <c r="AA163" s="1064"/>
      <c r="AB163" s="1064"/>
      <c r="AC163" s="1064"/>
      <c r="AD163" s="1064"/>
      <c r="AE163" s="1064"/>
    </row>
    <row r="164" spans="1:31" s="1066" customFormat="1" x14ac:dyDescent="0.3">
      <c r="A164" s="1064"/>
      <c r="B164" s="1065"/>
      <c r="D164" s="1064"/>
      <c r="E164" s="1187" t="s">
        <v>338</v>
      </c>
      <c r="F164" s="589"/>
      <c r="I164" s="589"/>
      <c r="J164" s="589"/>
      <c r="K164" s="589"/>
      <c r="L164" s="589"/>
      <c r="M164" s="1064"/>
      <c r="AA164" s="1064"/>
      <c r="AB164" s="1064"/>
      <c r="AC164" s="1064"/>
      <c r="AD164" s="1064"/>
      <c r="AE164" s="1064"/>
    </row>
    <row r="165" spans="1:31" s="1066" customFormat="1" x14ac:dyDescent="0.3">
      <c r="A165" s="1064"/>
      <c r="B165" s="1065"/>
      <c r="D165" s="1064"/>
      <c r="E165" s="1064"/>
      <c r="F165" s="1064"/>
      <c r="I165" s="1064"/>
      <c r="J165" s="1064"/>
      <c r="K165" s="1064"/>
      <c r="L165" s="1836" t="s">
        <v>904</v>
      </c>
      <c r="M165" s="1837"/>
      <c r="N165" s="1408">
        <f>N162-N142</f>
        <v>45845583.714305468</v>
      </c>
      <c r="S165" s="1836" t="s">
        <v>904</v>
      </c>
      <c r="T165" s="1837"/>
      <c r="U165" s="1408">
        <f>U162-U142</f>
        <v>24141781.613490019</v>
      </c>
      <c r="V165" s="1408">
        <f t="shared" ref="V165:X165" si="313">V162-V142</f>
        <v>9140372.9502638411</v>
      </c>
      <c r="W165" s="1408">
        <f t="shared" si="313"/>
        <v>7911774.7298897579</v>
      </c>
      <c r="X165" s="1408">
        <f t="shared" si="313"/>
        <v>4651654.420661848</v>
      </c>
      <c r="AA165" s="1064"/>
      <c r="AB165" s="1064"/>
      <c r="AC165" s="1064"/>
      <c r="AD165" s="1064"/>
      <c r="AE165" s="1064"/>
    </row>
    <row r="166" spans="1:31" s="1066" customFormat="1" x14ac:dyDescent="0.3">
      <c r="A166" s="1064"/>
      <c r="B166" s="1065"/>
      <c r="L166" s="1836" t="s">
        <v>866</v>
      </c>
      <c r="M166" s="1837"/>
      <c r="N166" s="1408">
        <f>N165/21</f>
        <v>2183123.0340145463</v>
      </c>
      <c r="S166" s="1836" t="s">
        <v>866</v>
      </c>
      <c r="T166" s="1837"/>
      <c r="U166" s="1408">
        <f>U165/21</f>
        <v>1149608.6482614295</v>
      </c>
      <c r="V166" s="1408">
        <f t="shared" ref="V166:X166" si="314">V165/21</f>
        <v>435255.85477446864</v>
      </c>
      <c r="W166" s="1408">
        <f t="shared" si="314"/>
        <v>376751.17761379801</v>
      </c>
      <c r="X166" s="1408">
        <f t="shared" si="314"/>
        <v>221507.3533648499</v>
      </c>
      <c r="AA166" s="1064"/>
      <c r="AB166" s="1064"/>
      <c r="AC166" s="1064"/>
      <c r="AD166" s="1064"/>
      <c r="AE166" s="1064"/>
    </row>
    <row r="167" spans="1:31" s="1066" customFormat="1" x14ac:dyDescent="0.3">
      <c r="A167" s="1064"/>
      <c r="B167" s="1065"/>
      <c r="G167" s="1086"/>
      <c r="H167" s="1086"/>
      <c r="I167" s="1086"/>
      <c r="J167" s="1086"/>
      <c r="K167" s="1064"/>
    </row>
    <row r="168" spans="1:31" s="1066" customFormat="1" x14ac:dyDescent="0.3">
      <c r="A168" s="1064"/>
      <c r="B168" s="1065"/>
      <c r="K168" s="1064"/>
    </row>
    <row r="169" spans="1:31" s="1066" customFormat="1" x14ac:dyDescent="0.3">
      <c r="A169" s="1064"/>
      <c r="B169" s="1065"/>
    </row>
    <row r="170" spans="1:31" s="1066" customFormat="1" x14ac:dyDescent="0.3">
      <c r="A170" s="1064"/>
      <c r="B170" s="1065"/>
    </row>
    <row r="171" spans="1:31" s="1066" customFormat="1" x14ac:dyDescent="0.3">
      <c r="A171" s="1064"/>
      <c r="B171" s="1065"/>
    </row>
    <row r="172" spans="1:31" s="1066" customFormat="1" x14ac:dyDescent="0.3">
      <c r="A172" s="1064"/>
      <c r="B172" s="1065"/>
    </row>
    <row r="173" spans="1:31" s="1066" customFormat="1" x14ac:dyDescent="0.3">
      <c r="A173" s="1064"/>
      <c r="B173" s="1065"/>
    </row>
    <row r="174" spans="1:31" s="1066" customFormat="1" x14ac:dyDescent="0.3">
      <c r="A174" s="1064"/>
      <c r="B174" s="1065"/>
    </row>
    <row r="175" spans="1:31" s="1066" customFormat="1" x14ac:dyDescent="0.3">
      <c r="A175" s="1064"/>
      <c r="B175" s="1065"/>
    </row>
    <row r="176" spans="1:31" s="1066" customFormat="1" x14ac:dyDescent="0.3">
      <c r="A176" s="1064"/>
      <c r="B176" s="1065"/>
    </row>
    <row r="177" spans="1:2" s="1066" customFormat="1" x14ac:dyDescent="0.3">
      <c r="A177" s="1064"/>
      <c r="B177" s="1065"/>
    </row>
    <row r="178" spans="1:2" s="1066" customFormat="1" x14ac:dyDescent="0.3">
      <c r="A178" s="1064"/>
      <c r="B178" s="1065"/>
    </row>
    <row r="179" spans="1:2" s="1066" customFormat="1" x14ac:dyDescent="0.3">
      <c r="A179" s="1064"/>
      <c r="B179" s="1065"/>
    </row>
    <row r="180" spans="1:2" s="1066" customFormat="1" x14ac:dyDescent="0.3">
      <c r="A180" s="1064"/>
      <c r="B180" s="1065"/>
    </row>
    <row r="181" spans="1:2" s="1066" customFormat="1" x14ac:dyDescent="0.3">
      <c r="A181" s="1064"/>
      <c r="B181" s="1065"/>
    </row>
    <row r="182" spans="1:2" s="1066" customFormat="1" x14ac:dyDescent="0.3">
      <c r="A182" s="1064"/>
      <c r="B182" s="1065"/>
    </row>
    <row r="183" spans="1:2" s="1066" customFormat="1" x14ac:dyDescent="0.3">
      <c r="A183" s="1064"/>
      <c r="B183" s="1065"/>
    </row>
    <row r="184" spans="1:2" s="1066" customFormat="1" x14ac:dyDescent="0.3">
      <c r="A184" s="1064"/>
      <c r="B184" s="1065"/>
    </row>
    <row r="185" spans="1:2" s="1066" customFormat="1" x14ac:dyDescent="0.3">
      <c r="A185" s="1064"/>
      <c r="B185" s="1065"/>
    </row>
    <row r="186" spans="1:2" s="1066" customFormat="1" x14ac:dyDescent="0.3">
      <c r="A186" s="1064"/>
      <c r="B186" s="1065"/>
    </row>
    <row r="187" spans="1:2" s="1066" customFormat="1" x14ac:dyDescent="0.3">
      <c r="A187" s="1064"/>
      <c r="B187" s="1065"/>
    </row>
    <row r="188" spans="1:2" s="1066" customFormat="1" x14ac:dyDescent="0.3">
      <c r="A188" s="1064"/>
      <c r="B188" s="1065"/>
    </row>
    <row r="189" spans="1:2" s="1066" customFormat="1" x14ac:dyDescent="0.3">
      <c r="A189" s="1064"/>
      <c r="B189" s="1065"/>
    </row>
    <row r="190" spans="1:2" s="1066" customFormat="1" x14ac:dyDescent="0.3">
      <c r="A190" s="1064"/>
      <c r="B190" s="1065"/>
    </row>
    <row r="191" spans="1:2" s="1066" customFormat="1" x14ac:dyDescent="0.3">
      <c r="A191" s="1064"/>
      <c r="B191" s="1065"/>
    </row>
    <row r="192" spans="1:2" s="1066" customFormat="1" x14ac:dyDescent="0.3">
      <c r="A192" s="1064"/>
      <c r="B192" s="1065"/>
    </row>
    <row r="193" spans="1:2" s="1066" customFormat="1" x14ac:dyDescent="0.3">
      <c r="A193" s="1064"/>
      <c r="B193" s="1065"/>
    </row>
    <row r="194" spans="1:2" s="1066" customFormat="1" x14ac:dyDescent="0.3">
      <c r="A194" s="1064"/>
      <c r="B194" s="1065"/>
    </row>
    <row r="195" spans="1:2" s="1066" customFormat="1" x14ac:dyDescent="0.3">
      <c r="A195" s="1064"/>
      <c r="B195" s="1065"/>
    </row>
    <row r="196" spans="1:2" s="1066" customFormat="1" x14ac:dyDescent="0.3">
      <c r="A196" s="1064"/>
      <c r="B196" s="1065"/>
    </row>
    <row r="197" spans="1:2" s="1066" customFormat="1" x14ac:dyDescent="0.3">
      <c r="A197" s="1064"/>
      <c r="B197" s="1065"/>
    </row>
    <row r="198" spans="1:2" s="1066" customFormat="1" x14ac:dyDescent="0.3">
      <c r="A198" s="1064"/>
      <c r="B198" s="1065"/>
    </row>
    <row r="199" spans="1:2" s="1066" customFormat="1" x14ac:dyDescent="0.3">
      <c r="A199" s="1064"/>
      <c r="B199" s="1065"/>
    </row>
    <row r="200" spans="1:2" s="1066" customFormat="1" x14ac:dyDescent="0.3">
      <c r="A200" s="1064"/>
      <c r="B200" s="1065"/>
    </row>
    <row r="201" spans="1:2" s="1066" customFormat="1" x14ac:dyDescent="0.3">
      <c r="A201" s="1064"/>
      <c r="B201" s="1065"/>
    </row>
    <row r="202" spans="1:2" s="1066" customFormat="1" x14ac:dyDescent="0.3">
      <c r="A202" s="1064"/>
      <c r="B202" s="1065"/>
    </row>
    <row r="203" spans="1:2" s="1066" customFormat="1" x14ac:dyDescent="0.3">
      <c r="A203" s="1064"/>
      <c r="B203" s="1065"/>
    </row>
    <row r="204" spans="1:2" s="1066" customFormat="1" x14ac:dyDescent="0.3">
      <c r="A204" s="1064"/>
      <c r="B204" s="1065"/>
    </row>
    <row r="205" spans="1:2" s="1066" customFormat="1" x14ac:dyDescent="0.3">
      <c r="A205" s="1064"/>
      <c r="B205" s="1065"/>
    </row>
    <row r="206" spans="1:2" s="1066" customFormat="1" x14ac:dyDescent="0.3">
      <c r="A206" s="1064"/>
      <c r="B206" s="1065"/>
    </row>
    <row r="207" spans="1:2" s="1066" customFormat="1" x14ac:dyDescent="0.3">
      <c r="A207" s="1064"/>
      <c r="B207" s="1065"/>
    </row>
    <row r="208" spans="1:2" s="1066" customFormat="1" x14ac:dyDescent="0.3">
      <c r="A208" s="1064"/>
      <c r="B208" s="1065"/>
    </row>
    <row r="209" spans="1:2" s="1066" customFormat="1" x14ac:dyDescent="0.3">
      <c r="A209" s="1064"/>
      <c r="B209" s="1065"/>
    </row>
    <row r="210" spans="1:2" s="1066" customFormat="1" x14ac:dyDescent="0.3">
      <c r="A210" s="1064"/>
      <c r="B210" s="1065"/>
    </row>
    <row r="211" spans="1:2" s="1066" customFormat="1" x14ac:dyDescent="0.3">
      <c r="A211" s="1064"/>
      <c r="B211" s="1065"/>
    </row>
    <row r="212" spans="1:2" s="1066" customFormat="1" x14ac:dyDescent="0.3">
      <c r="A212" s="1064"/>
      <c r="B212" s="1065"/>
    </row>
    <row r="213" spans="1:2" s="1066" customFormat="1" x14ac:dyDescent="0.3">
      <c r="A213" s="1064"/>
      <c r="B213" s="1065"/>
    </row>
    <row r="214" spans="1:2" s="1066" customFormat="1" x14ac:dyDescent="0.3">
      <c r="A214" s="1064"/>
      <c r="B214" s="1065"/>
    </row>
    <row r="215" spans="1:2" s="1066" customFormat="1" x14ac:dyDescent="0.3">
      <c r="A215" s="1064"/>
      <c r="B215" s="1065"/>
    </row>
    <row r="216" spans="1:2" s="1066" customFormat="1" x14ac:dyDescent="0.3">
      <c r="A216" s="1064"/>
      <c r="B216" s="1065"/>
    </row>
    <row r="217" spans="1:2" s="1066" customFormat="1" x14ac:dyDescent="0.3">
      <c r="A217" s="1064"/>
      <c r="B217" s="1065"/>
    </row>
    <row r="218" spans="1:2" s="1066" customFormat="1" x14ac:dyDescent="0.3">
      <c r="A218" s="1064"/>
      <c r="B218" s="1065"/>
    </row>
    <row r="219" spans="1:2" s="1066" customFormat="1" x14ac:dyDescent="0.3">
      <c r="A219" s="1064"/>
      <c r="B219" s="1065"/>
    </row>
    <row r="220" spans="1:2" s="1066" customFormat="1" x14ac:dyDescent="0.3">
      <c r="A220" s="1064"/>
      <c r="B220" s="1065"/>
    </row>
    <row r="221" spans="1:2" s="1066" customFormat="1" x14ac:dyDescent="0.3">
      <c r="A221" s="1064"/>
      <c r="B221" s="1065"/>
    </row>
    <row r="222" spans="1:2" s="1066" customFormat="1" x14ac:dyDescent="0.3">
      <c r="A222" s="1064"/>
      <c r="B222" s="1065"/>
    </row>
    <row r="223" spans="1:2" s="1066" customFormat="1" x14ac:dyDescent="0.3">
      <c r="A223" s="1064"/>
      <c r="B223" s="1065"/>
    </row>
    <row r="224" spans="1:2" s="1066" customFormat="1" x14ac:dyDescent="0.3">
      <c r="A224" s="1064"/>
      <c r="B224" s="1065"/>
    </row>
    <row r="225" spans="1:2" s="1066" customFormat="1" x14ac:dyDescent="0.3">
      <c r="A225" s="1064"/>
      <c r="B225" s="1065"/>
    </row>
    <row r="226" spans="1:2" s="1066" customFormat="1" x14ac:dyDescent="0.3">
      <c r="A226" s="1064"/>
      <c r="B226" s="1065"/>
    </row>
    <row r="227" spans="1:2" s="1066" customFormat="1" x14ac:dyDescent="0.3">
      <c r="A227" s="1064"/>
      <c r="B227" s="1065"/>
    </row>
    <row r="228" spans="1:2" s="1066" customFormat="1" x14ac:dyDescent="0.3">
      <c r="A228" s="1064"/>
      <c r="B228" s="1065"/>
    </row>
    <row r="229" spans="1:2" s="1066" customFormat="1" x14ac:dyDescent="0.3">
      <c r="A229" s="1064"/>
      <c r="B229" s="1065"/>
    </row>
    <row r="230" spans="1:2" s="1066" customFormat="1" x14ac:dyDescent="0.3">
      <c r="A230" s="1064"/>
      <c r="B230" s="1065"/>
    </row>
    <row r="231" spans="1:2" s="1066" customFormat="1" x14ac:dyDescent="0.3">
      <c r="A231" s="1064"/>
      <c r="B231" s="1065"/>
    </row>
    <row r="232" spans="1:2" s="1066" customFormat="1" x14ac:dyDescent="0.3">
      <c r="A232" s="1064"/>
      <c r="B232" s="1065"/>
    </row>
    <row r="233" spans="1:2" s="1066" customFormat="1" x14ac:dyDescent="0.3">
      <c r="A233" s="1064"/>
      <c r="B233" s="1065"/>
    </row>
    <row r="234" spans="1:2" s="1066" customFormat="1" x14ac:dyDescent="0.3">
      <c r="A234" s="1064"/>
      <c r="B234" s="1065"/>
    </row>
    <row r="235" spans="1:2" s="1066" customFormat="1" x14ac:dyDescent="0.3">
      <c r="A235" s="1064"/>
      <c r="B235" s="1065"/>
    </row>
    <row r="236" spans="1:2" s="1066" customFormat="1" x14ac:dyDescent="0.3">
      <c r="A236" s="1064"/>
      <c r="B236" s="1065"/>
    </row>
    <row r="237" spans="1:2" s="1066" customFormat="1" x14ac:dyDescent="0.3">
      <c r="A237" s="1064"/>
      <c r="B237" s="1065"/>
    </row>
    <row r="238" spans="1:2" s="1066" customFormat="1" x14ac:dyDescent="0.3">
      <c r="A238" s="1064"/>
      <c r="B238" s="1065"/>
    </row>
    <row r="239" spans="1:2" s="1066" customFormat="1" x14ac:dyDescent="0.3">
      <c r="A239" s="1064"/>
      <c r="B239" s="1065"/>
    </row>
    <row r="240" spans="1:2" s="1066" customFormat="1" x14ac:dyDescent="0.3">
      <c r="A240" s="1064"/>
      <c r="B240" s="1065"/>
    </row>
    <row r="241" spans="1:2" s="1066" customFormat="1" x14ac:dyDescent="0.3">
      <c r="A241" s="1064"/>
      <c r="B241" s="1065"/>
    </row>
    <row r="242" spans="1:2" s="1066" customFormat="1" x14ac:dyDescent="0.3">
      <c r="A242" s="1064"/>
      <c r="B242" s="1065"/>
    </row>
    <row r="243" spans="1:2" s="1066" customFormat="1" x14ac:dyDescent="0.3">
      <c r="A243" s="1064"/>
      <c r="B243" s="1065"/>
    </row>
    <row r="244" spans="1:2" s="1066" customFormat="1" x14ac:dyDescent="0.3">
      <c r="A244" s="1064"/>
      <c r="B244" s="1065"/>
    </row>
    <row r="245" spans="1:2" s="1066" customFormat="1" x14ac:dyDescent="0.3">
      <c r="A245" s="1064"/>
      <c r="B245" s="1065"/>
    </row>
    <row r="246" spans="1:2" s="1066" customFormat="1" x14ac:dyDescent="0.3">
      <c r="A246" s="1064"/>
      <c r="B246" s="1065"/>
    </row>
    <row r="247" spans="1:2" s="1066" customFormat="1" x14ac:dyDescent="0.3">
      <c r="A247" s="1064"/>
      <c r="B247" s="1065"/>
    </row>
    <row r="248" spans="1:2" s="1066" customFormat="1" x14ac:dyDescent="0.3">
      <c r="A248" s="1064"/>
      <c r="B248" s="1065"/>
    </row>
    <row r="249" spans="1:2" s="1066" customFormat="1" x14ac:dyDescent="0.3">
      <c r="A249" s="1064"/>
      <c r="B249" s="1065"/>
    </row>
    <row r="250" spans="1:2" s="1066" customFormat="1" x14ac:dyDescent="0.3">
      <c r="A250" s="1064"/>
      <c r="B250" s="1065"/>
    </row>
    <row r="251" spans="1:2" s="1066" customFormat="1" x14ac:dyDescent="0.3">
      <c r="A251" s="1064"/>
      <c r="B251" s="1065"/>
    </row>
    <row r="252" spans="1:2" s="1066" customFormat="1" x14ac:dyDescent="0.3">
      <c r="A252" s="1064"/>
      <c r="B252" s="1065"/>
    </row>
    <row r="253" spans="1:2" s="1066" customFormat="1" x14ac:dyDescent="0.3">
      <c r="A253" s="1064"/>
      <c r="B253" s="1065"/>
    </row>
    <row r="254" spans="1:2" s="1066" customFormat="1" x14ac:dyDescent="0.3">
      <c r="A254" s="1064"/>
      <c r="B254" s="1065"/>
    </row>
    <row r="255" spans="1:2" s="1066" customFormat="1" x14ac:dyDescent="0.3">
      <c r="A255" s="1064"/>
      <c r="B255" s="1065"/>
    </row>
    <row r="256" spans="1:2" s="1066" customFormat="1" x14ac:dyDescent="0.3">
      <c r="A256" s="1064"/>
      <c r="B256" s="1065"/>
    </row>
    <row r="257" spans="1:2" s="1066" customFormat="1" x14ac:dyDescent="0.3">
      <c r="A257" s="1064"/>
      <c r="B257" s="1065"/>
    </row>
    <row r="258" spans="1:2" s="1066" customFormat="1" x14ac:dyDescent="0.3">
      <c r="A258" s="1064"/>
      <c r="B258" s="1065"/>
    </row>
    <row r="259" spans="1:2" s="1066" customFormat="1" x14ac:dyDescent="0.3">
      <c r="A259" s="1064"/>
      <c r="B259" s="1065"/>
    </row>
    <row r="260" spans="1:2" s="1066" customFormat="1" x14ac:dyDescent="0.3">
      <c r="A260" s="1064"/>
      <c r="B260" s="1065"/>
    </row>
    <row r="261" spans="1:2" s="1066" customFormat="1" x14ac:dyDescent="0.3">
      <c r="A261" s="1064"/>
      <c r="B261" s="1065"/>
    </row>
    <row r="262" spans="1:2" s="1066" customFormat="1" x14ac:dyDescent="0.3">
      <c r="A262" s="1064"/>
      <c r="B262" s="1065"/>
    </row>
    <row r="263" spans="1:2" s="1066" customFormat="1" x14ac:dyDescent="0.3">
      <c r="A263" s="1064"/>
      <c r="B263" s="1065"/>
    </row>
    <row r="264" spans="1:2" s="1066" customFormat="1" x14ac:dyDescent="0.3">
      <c r="A264" s="1064"/>
      <c r="B264" s="1065"/>
    </row>
    <row r="265" spans="1:2" s="1066" customFormat="1" x14ac:dyDescent="0.3">
      <c r="A265" s="1064"/>
      <c r="B265" s="1065"/>
    </row>
    <row r="266" spans="1:2" s="1066" customFormat="1" x14ac:dyDescent="0.3">
      <c r="A266" s="1064"/>
      <c r="B266" s="1065"/>
    </row>
    <row r="267" spans="1:2" s="1066" customFormat="1" x14ac:dyDescent="0.3">
      <c r="A267" s="1064"/>
      <c r="B267" s="1065"/>
    </row>
    <row r="268" spans="1:2" s="1066" customFormat="1" x14ac:dyDescent="0.3">
      <c r="A268" s="1064"/>
      <c r="B268" s="1065"/>
    </row>
    <row r="269" spans="1:2" s="1066" customFormat="1" x14ac:dyDescent="0.3">
      <c r="A269" s="1064"/>
      <c r="B269" s="1065"/>
    </row>
    <row r="270" spans="1:2" s="1066" customFormat="1" x14ac:dyDescent="0.3">
      <c r="A270" s="1064"/>
      <c r="B270" s="1065"/>
    </row>
    <row r="271" spans="1:2" s="1066" customFormat="1" x14ac:dyDescent="0.3">
      <c r="A271" s="1064"/>
      <c r="B271" s="1065"/>
    </row>
    <row r="272" spans="1:2" s="1066" customFormat="1" x14ac:dyDescent="0.3">
      <c r="A272" s="1064"/>
      <c r="B272" s="1065"/>
    </row>
    <row r="273" spans="1:2" s="1066" customFormat="1" x14ac:dyDescent="0.3">
      <c r="A273" s="1064"/>
      <c r="B273" s="1065"/>
    </row>
    <row r="274" spans="1:2" s="1066" customFormat="1" x14ac:dyDescent="0.3">
      <c r="A274" s="1064"/>
      <c r="B274" s="1065"/>
    </row>
    <row r="275" spans="1:2" s="1066" customFormat="1" x14ac:dyDescent="0.3">
      <c r="A275" s="1064"/>
      <c r="B275" s="1065"/>
    </row>
    <row r="276" spans="1:2" s="1066" customFormat="1" x14ac:dyDescent="0.3">
      <c r="A276" s="1064"/>
      <c r="B276" s="1065"/>
    </row>
    <row r="277" spans="1:2" s="1066" customFormat="1" x14ac:dyDescent="0.3">
      <c r="A277" s="1064"/>
      <c r="B277" s="1065"/>
    </row>
    <row r="278" spans="1:2" s="1066" customFormat="1" x14ac:dyDescent="0.3">
      <c r="A278" s="1064"/>
      <c r="B278" s="1065"/>
    </row>
    <row r="279" spans="1:2" s="1066" customFormat="1" x14ac:dyDescent="0.3">
      <c r="A279" s="1064"/>
      <c r="B279" s="1065"/>
    </row>
    <row r="280" spans="1:2" s="1066" customFormat="1" x14ac:dyDescent="0.3">
      <c r="A280" s="1064"/>
      <c r="B280" s="1065"/>
    </row>
    <row r="281" spans="1:2" s="1066" customFormat="1" x14ac:dyDescent="0.3">
      <c r="A281" s="1064"/>
      <c r="B281" s="1065"/>
    </row>
    <row r="282" spans="1:2" s="1066" customFormat="1" x14ac:dyDescent="0.3">
      <c r="A282" s="1064"/>
      <c r="B282" s="1065"/>
    </row>
    <row r="283" spans="1:2" s="1066" customFormat="1" x14ac:dyDescent="0.3">
      <c r="A283" s="1064"/>
      <c r="B283" s="1065"/>
    </row>
    <row r="284" spans="1:2" s="1066" customFormat="1" x14ac:dyDescent="0.3">
      <c r="A284" s="1064"/>
      <c r="B284" s="1065"/>
    </row>
    <row r="285" spans="1:2" s="1066" customFormat="1" x14ac:dyDescent="0.3">
      <c r="A285" s="1064"/>
      <c r="B285" s="1065"/>
    </row>
    <row r="286" spans="1:2" s="1066" customFormat="1" x14ac:dyDescent="0.3">
      <c r="A286" s="1064"/>
      <c r="B286" s="1065"/>
    </row>
    <row r="287" spans="1:2" s="1066" customFormat="1" x14ac:dyDescent="0.3">
      <c r="A287" s="1064"/>
      <c r="B287" s="1065"/>
    </row>
    <row r="288" spans="1:2" s="1066" customFormat="1" x14ac:dyDescent="0.3">
      <c r="A288" s="1064"/>
      <c r="B288" s="1065"/>
    </row>
    <row r="289" spans="1:2" s="1066" customFormat="1" x14ac:dyDescent="0.3">
      <c r="A289" s="1064"/>
      <c r="B289" s="1065"/>
    </row>
    <row r="290" spans="1:2" s="1066" customFormat="1" x14ac:dyDescent="0.3">
      <c r="A290" s="1064"/>
      <c r="B290" s="1065"/>
    </row>
    <row r="291" spans="1:2" s="1066" customFormat="1" x14ac:dyDescent="0.3">
      <c r="A291" s="1064"/>
      <c r="B291" s="1065"/>
    </row>
    <row r="292" spans="1:2" s="1066" customFormat="1" x14ac:dyDescent="0.3">
      <c r="A292" s="1064"/>
      <c r="B292" s="1065"/>
    </row>
    <row r="293" spans="1:2" s="1066" customFormat="1" x14ac:dyDescent="0.3">
      <c r="A293" s="1064"/>
      <c r="B293" s="1065"/>
    </row>
    <row r="294" spans="1:2" s="1066" customFormat="1" x14ac:dyDescent="0.3">
      <c r="A294" s="1064"/>
      <c r="B294" s="1065"/>
    </row>
    <row r="295" spans="1:2" s="1066" customFormat="1" x14ac:dyDescent="0.3">
      <c r="A295" s="1064"/>
      <c r="B295" s="1065"/>
    </row>
    <row r="296" spans="1:2" s="1066" customFormat="1" x14ac:dyDescent="0.3">
      <c r="A296" s="1064"/>
      <c r="B296" s="1065"/>
    </row>
    <row r="297" spans="1:2" s="1066" customFormat="1" x14ac:dyDescent="0.3">
      <c r="A297" s="1064"/>
      <c r="B297" s="1065"/>
    </row>
    <row r="298" spans="1:2" s="1066" customFormat="1" x14ac:dyDescent="0.3">
      <c r="A298" s="1064"/>
      <c r="B298" s="1065"/>
    </row>
    <row r="299" spans="1:2" s="1066" customFormat="1" x14ac:dyDescent="0.3">
      <c r="A299" s="1064"/>
      <c r="B299" s="1065"/>
    </row>
    <row r="300" spans="1:2" s="1066" customFormat="1" x14ac:dyDescent="0.3">
      <c r="A300" s="1064"/>
      <c r="B300" s="1065"/>
    </row>
    <row r="301" spans="1:2" s="1066" customFormat="1" x14ac:dyDescent="0.3">
      <c r="A301" s="1064"/>
      <c r="B301" s="1065"/>
    </row>
    <row r="302" spans="1:2" s="1066" customFormat="1" x14ac:dyDescent="0.3">
      <c r="A302" s="1064"/>
      <c r="B302" s="1065"/>
    </row>
    <row r="303" spans="1:2" s="1066" customFormat="1" x14ac:dyDescent="0.3">
      <c r="A303" s="1064"/>
      <c r="B303" s="1065"/>
    </row>
    <row r="304" spans="1:2" s="1066" customFormat="1" x14ac:dyDescent="0.3">
      <c r="A304" s="1064"/>
      <c r="B304" s="1065"/>
    </row>
    <row r="305" spans="1:2" s="1066" customFormat="1" x14ac:dyDescent="0.3">
      <c r="A305" s="1064"/>
      <c r="B305" s="1065"/>
    </row>
    <row r="306" spans="1:2" s="1066" customFormat="1" x14ac:dyDescent="0.3">
      <c r="A306" s="1064"/>
      <c r="B306" s="1065"/>
    </row>
    <row r="307" spans="1:2" s="1066" customFormat="1" x14ac:dyDescent="0.3">
      <c r="A307" s="1064"/>
      <c r="B307" s="1065"/>
    </row>
    <row r="308" spans="1:2" s="1066" customFormat="1" x14ac:dyDescent="0.3">
      <c r="A308" s="1064"/>
      <c r="B308" s="1065"/>
    </row>
    <row r="309" spans="1:2" s="1066" customFormat="1" x14ac:dyDescent="0.3">
      <c r="A309" s="1064"/>
      <c r="B309" s="1065"/>
    </row>
    <row r="310" spans="1:2" s="1066" customFormat="1" x14ac:dyDescent="0.3">
      <c r="A310" s="1064"/>
      <c r="B310" s="1065"/>
    </row>
    <row r="311" spans="1:2" s="1066" customFormat="1" x14ac:dyDescent="0.3">
      <c r="A311" s="1064"/>
      <c r="B311" s="1065"/>
    </row>
    <row r="312" spans="1:2" s="1066" customFormat="1" x14ac:dyDescent="0.3">
      <c r="A312" s="1064"/>
      <c r="B312" s="1065"/>
    </row>
    <row r="313" spans="1:2" s="1066" customFormat="1" x14ac:dyDescent="0.3">
      <c r="A313" s="1064"/>
      <c r="B313" s="1065"/>
    </row>
    <row r="314" spans="1:2" s="1066" customFormat="1" x14ac:dyDescent="0.3">
      <c r="A314" s="1064"/>
      <c r="B314" s="1065"/>
    </row>
    <row r="315" spans="1:2" s="1066" customFormat="1" x14ac:dyDescent="0.3">
      <c r="A315" s="1064"/>
      <c r="B315" s="1065"/>
    </row>
    <row r="316" spans="1:2" s="1066" customFormat="1" x14ac:dyDescent="0.3">
      <c r="A316" s="1064"/>
      <c r="B316" s="1065"/>
    </row>
    <row r="317" spans="1:2" s="1066" customFormat="1" x14ac:dyDescent="0.3">
      <c r="A317" s="1064"/>
      <c r="B317" s="1065"/>
    </row>
    <row r="318" spans="1:2" s="1066" customFormat="1" x14ac:dyDescent="0.3">
      <c r="A318" s="1064"/>
      <c r="B318" s="1065"/>
    </row>
    <row r="319" spans="1:2" s="1066" customFormat="1" x14ac:dyDescent="0.3">
      <c r="A319" s="1064"/>
      <c r="B319" s="1065"/>
    </row>
    <row r="320" spans="1:2" s="1066" customFormat="1" x14ac:dyDescent="0.3">
      <c r="A320" s="1064"/>
      <c r="B320" s="1065"/>
    </row>
    <row r="321" spans="1:2" s="1066" customFormat="1" x14ac:dyDescent="0.3">
      <c r="A321" s="1064"/>
      <c r="B321" s="1065"/>
    </row>
    <row r="322" spans="1:2" s="1066" customFormat="1" x14ac:dyDescent="0.3">
      <c r="A322" s="1064"/>
      <c r="B322" s="1065"/>
    </row>
    <row r="323" spans="1:2" s="1066" customFormat="1" x14ac:dyDescent="0.3">
      <c r="A323" s="1064"/>
      <c r="B323" s="1065"/>
    </row>
    <row r="324" spans="1:2" s="1066" customFormat="1" x14ac:dyDescent="0.3">
      <c r="A324" s="1064"/>
      <c r="B324" s="1065"/>
    </row>
    <row r="325" spans="1:2" s="1066" customFormat="1" x14ac:dyDescent="0.3">
      <c r="A325" s="1064"/>
      <c r="B325" s="1065"/>
    </row>
    <row r="326" spans="1:2" s="1066" customFormat="1" x14ac:dyDescent="0.3">
      <c r="A326" s="1064"/>
      <c r="B326" s="1065"/>
    </row>
    <row r="327" spans="1:2" s="1066" customFormat="1" x14ac:dyDescent="0.3">
      <c r="A327" s="1064"/>
      <c r="B327" s="1065"/>
    </row>
    <row r="328" spans="1:2" s="1066" customFormat="1" x14ac:dyDescent="0.3">
      <c r="A328" s="1064"/>
      <c r="B328" s="1065"/>
    </row>
    <row r="329" spans="1:2" s="1066" customFormat="1" x14ac:dyDescent="0.3">
      <c r="A329" s="1064"/>
      <c r="B329" s="1065"/>
    </row>
    <row r="330" spans="1:2" s="1066" customFormat="1" x14ac:dyDescent="0.3">
      <c r="A330" s="1064"/>
      <c r="B330" s="1065"/>
    </row>
    <row r="331" spans="1:2" s="1066" customFormat="1" x14ac:dyDescent="0.3">
      <c r="A331" s="1064"/>
      <c r="B331" s="1065"/>
    </row>
    <row r="332" spans="1:2" s="1066" customFormat="1" x14ac:dyDescent="0.3">
      <c r="A332" s="1064"/>
      <c r="B332" s="1065"/>
    </row>
    <row r="333" spans="1:2" s="1066" customFormat="1" x14ac:dyDescent="0.3">
      <c r="A333" s="1064"/>
      <c r="B333" s="1065"/>
    </row>
    <row r="334" spans="1:2" s="1066" customFormat="1" x14ac:dyDescent="0.3">
      <c r="A334" s="1064"/>
      <c r="B334" s="1065"/>
    </row>
    <row r="335" spans="1:2" s="1066" customFormat="1" x14ac:dyDescent="0.3">
      <c r="A335" s="1064"/>
      <c r="B335" s="1065"/>
    </row>
    <row r="336" spans="1:2" s="1066" customFormat="1" x14ac:dyDescent="0.3">
      <c r="A336" s="1064"/>
      <c r="B336" s="1065"/>
    </row>
    <row r="337" spans="1:2" s="1066" customFormat="1" x14ac:dyDescent="0.3">
      <c r="A337" s="1064"/>
      <c r="B337" s="1065"/>
    </row>
    <row r="338" spans="1:2" s="1066" customFormat="1" x14ac:dyDescent="0.3">
      <c r="A338" s="1064"/>
      <c r="B338" s="1065"/>
    </row>
    <row r="339" spans="1:2" s="1066" customFormat="1" x14ac:dyDescent="0.3">
      <c r="A339" s="1064"/>
      <c r="B339" s="1065"/>
    </row>
    <row r="340" spans="1:2" s="1066" customFormat="1" x14ac:dyDescent="0.3">
      <c r="A340" s="1064"/>
      <c r="B340" s="1065"/>
    </row>
    <row r="341" spans="1:2" s="1066" customFormat="1" x14ac:dyDescent="0.3">
      <c r="A341" s="1064"/>
      <c r="B341" s="1065"/>
    </row>
    <row r="342" spans="1:2" s="1066" customFormat="1" x14ac:dyDescent="0.3">
      <c r="A342" s="1064"/>
      <c r="B342" s="1065"/>
    </row>
    <row r="343" spans="1:2" s="1066" customFormat="1" x14ac:dyDescent="0.3">
      <c r="A343" s="1064"/>
      <c r="B343" s="1065"/>
    </row>
    <row r="344" spans="1:2" s="1066" customFormat="1" x14ac:dyDescent="0.3">
      <c r="A344" s="1064"/>
      <c r="B344" s="1065"/>
    </row>
    <row r="345" spans="1:2" s="1066" customFormat="1" x14ac:dyDescent="0.3">
      <c r="A345" s="1064"/>
      <c r="B345" s="1065"/>
    </row>
    <row r="346" spans="1:2" s="1066" customFormat="1" x14ac:dyDescent="0.3">
      <c r="A346" s="1064"/>
      <c r="B346" s="1065"/>
    </row>
    <row r="347" spans="1:2" s="1066" customFormat="1" x14ac:dyDescent="0.3">
      <c r="A347" s="1064"/>
      <c r="B347" s="1065"/>
    </row>
    <row r="348" spans="1:2" s="1066" customFormat="1" x14ac:dyDescent="0.3">
      <c r="A348" s="1064"/>
      <c r="B348" s="1065"/>
    </row>
    <row r="349" spans="1:2" s="1066" customFormat="1" x14ac:dyDescent="0.3">
      <c r="A349" s="1064"/>
      <c r="B349" s="1065"/>
    </row>
    <row r="350" spans="1:2" s="1066" customFormat="1" x14ac:dyDescent="0.3">
      <c r="A350" s="1064"/>
      <c r="B350" s="1065"/>
    </row>
    <row r="351" spans="1:2" s="1066" customFormat="1" x14ac:dyDescent="0.3">
      <c r="A351" s="1064"/>
      <c r="B351" s="1065"/>
    </row>
    <row r="352" spans="1:2" s="1066" customFormat="1" x14ac:dyDescent="0.3">
      <c r="A352" s="1064"/>
      <c r="B352" s="1065"/>
    </row>
    <row r="353" spans="1:2" s="1066" customFormat="1" x14ac:dyDescent="0.3">
      <c r="A353" s="1064"/>
      <c r="B353" s="1065"/>
    </row>
    <row r="354" spans="1:2" s="1066" customFormat="1" x14ac:dyDescent="0.3">
      <c r="A354" s="1064"/>
      <c r="B354" s="1065"/>
    </row>
    <row r="355" spans="1:2" s="1066" customFormat="1" x14ac:dyDescent="0.3">
      <c r="A355" s="1064"/>
      <c r="B355" s="1065"/>
    </row>
    <row r="356" spans="1:2" s="1066" customFormat="1" x14ac:dyDescent="0.3">
      <c r="A356" s="1064"/>
      <c r="B356" s="1065"/>
    </row>
    <row r="357" spans="1:2" s="1066" customFormat="1" x14ac:dyDescent="0.3">
      <c r="A357" s="1064"/>
      <c r="B357" s="1065"/>
    </row>
    <row r="358" spans="1:2" s="1066" customFormat="1" x14ac:dyDescent="0.3">
      <c r="A358" s="1064"/>
      <c r="B358" s="1065"/>
    </row>
    <row r="359" spans="1:2" s="1066" customFormat="1" x14ac:dyDescent="0.3">
      <c r="A359" s="1064"/>
      <c r="B359" s="1065"/>
    </row>
    <row r="360" spans="1:2" s="1066" customFormat="1" x14ac:dyDescent="0.3">
      <c r="A360" s="1064"/>
      <c r="B360" s="1065"/>
    </row>
  </sheetData>
  <mergeCells count="25">
    <mergeCell ref="L165:M165"/>
    <mergeCell ref="L166:M166"/>
    <mergeCell ref="S165:T165"/>
    <mergeCell ref="S166:T166"/>
    <mergeCell ref="U140:W140"/>
    <mergeCell ref="D109:X109"/>
    <mergeCell ref="E137:I137"/>
    <mergeCell ref="I140:K140"/>
    <mergeCell ref="Q140:S140"/>
    <mergeCell ref="T140:T141"/>
    <mergeCell ref="X140:X141"/>
    <mergeCell ref="L140:N140"/>
    <mergeCell ref="G140:H140"/>
    <mergeCell ref="D45:X45"/>
    <mergeCell ref="D5:X5"/>
    <mergeCell ref="D14:X14"/>
    <mergeCell ref="D23:X23"/>
    <mergeCell ref="D29:X29"/>
    <mergeCell ref="D38:X38"/>
    <mergeCell ref="D100:X100"/>
    <mergeCell ref="D56:X56"/>
    <mergeCell ref="D64:X64"/>
    <mergeCell ref="D76:X76"/>
    <mergeCell ref="D83:X83"/>
    <mergeCell ref="D92:X9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7</vt:i4>
      </vt:variant>
    </vt:vector>
  </HeadingPairs>
  <TitlesOfParts>
    <vt:vector size="36" baseType="lpstr">
      <vt:lpstr>About the Spreadsheet Tabs</vt:lpstr>
      <vt:lpstr>Rates</vt:lpstr>
      <vt:lpstr>BCA</vt:lpstr>
      <vt:lpstr>BenefitSummary</vt:lpstr>
      <vt:lpstr>ProjectCost</vt:lpstr>
      <vt:lpstr>SOGRR</vt:lpstr>
      <vt:lpstr>Travel.Time.Costs</vt:lpstr>
      <vt:lpstr>VOC.1 </vt:lpstr>
      <vt:lpstr>VOC.2</vt:lpstr>
      <vt:lpstr>Emission.Costs</vt:lpstr>
      <vt:lpstr>Safety.Costs</vt:lpstr>
      <vt:lpstr>JobCreation</vt:lpstr>
      <vt:lpstr>Tourism</vt:lpstr>
      <vt:lpstr>Maritime Safety</vt:lpstr>
      <vt:lpstr>VISSIM.Outputs</vt:lpstr>
      <vt:lpstr>VMT.VHT.ADT.Change</vt:lpstr>
      <vt:lpstr>VMT.VHT.ADT.Trip.Types</vt:lpstr>
      <vt:lpstr>VMT.VHT.ADT.Trip.Tables</vt:lpstr>
      <vt:lpstr>Build.vs.No-Build</vt:lpstr>
      <vt:lpstr>VOC </vt:lpstr>
      <vt:lpstr>Fuel.Use.Rate</vt:lpstr>
      <vt:lpstr>EmissRates MOVES2014</vt:lpstr>
      <vt:lpstr>Crash.Data</vt:lpstr>
      <vt:lpstr>Pavement.Marginal.Cost </vt:lpstr>
      <vt:lpstr>KABCO-AIS Conv Matrix</vt:lpstr>
      <vt:lpstr>EmissRates(EPA)</vt:lpstr>
      <vt:lpstr>Fuel Prices ($ per gal)</vt:lpstr>
      <vt:lpstr>CPI Factors</vt:lpstr>
      <vt:lpstr>Tourism_Inputs</vt:lpstr>
      <vt:lpstr>'VOC '!_Ref184182116</vt:lpstr>
      <vt:lpstr>Fuel.Use.Rate!FuelCon</vt:lpstr>
      <vt:lpstr>Crash.Data!Print_Area</vt:lpstr>
      <vt:lpstr>ProjectCost!Print_Area</vt:lpstr>
      <vt:lpstr>VMT.VHT.ADT.Trip.Types!Print_Area</vt:lpstr>
      <vt:lpstr>'VOC '!Print_Area</vt:lpstr>
      <vt:lpstr>Fuel.Use.Rate!Print_Titles</vt:lpstr>
    </vt:vector>
  </TitlesOfParts>
  <Company>Cambridge Systematics,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 Victoria-Jamarillo</dc:creator>
  <cp:lastModifiedBy>Porta, Virginia</cp:lastModifiedBy>
  <cp:lastPrinted>2010-08-02T21:25:58Z</cp:lastPrinted>
  <dcterms:created xsi:type="dcterms:W3CDTF">2010-07-26T20:49:36Z</dcterms:created>
  <dcterms:modified xsi:type="dcterms:W3CDTF">2017-11-01T22:09:21Z</dcterms:modified>
</cp:coreProperties>
</file>